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6675"/>
  </bookViews>
  <sheets>
    <sheet name="Resumen " sheetId="4" r:id="rId1"/>
  </sheets>
  <definedNames>
    <definedName name="_xlnm._FilterDatabase" localSheetId="0" hidden="1">'Resumen '!$B$3:$AB$76</definedName>
  </definedNames>
  <calcPr calcId="145621"/>
</workbook>
</file>

<file path=xl/calcChain.xml><?xml version="1.0" encoding="utf-8"?>
<calcChain xmlns="http://schemas.openxmlformats.org/spreadsheetml/2006/main">
  <c r="Z75" i="4" l="1"/>
  <c r="Z74" i="4"/>
  <c r="Z73" i="4"/>
  <c r="Z72" i="4"/>
  <c r="Z71" i="4"/>
  <c r="Z70" i="4"/>
  <c r="Z69" i="4"/>
  <c r="Z68" i="4"/>
  <c r="Z67" i="4"/>
  <c r="Z66" i="4"/>
  <c r="Z65" i="4"/>
  <c r="Z64" i="4"/>
  <c r="Z63" i="4"/>
  <c r="Z62" i="4"/>
  <c r="Z61" i="4"/>
  <c r="Z60" i="4"/>
  <c r="Z59" i="4"/>
  <c r="Z58" i="4"/>
  <c r="Z56" i="4"/>
  <c r="Z55" i="4"/>
  <c r="Z54" i="4"/>
  <c r="Z52" i="4"/>
  <c r="Z51" i="4"/>
  <c r="Z49" i="4"/>
  <c r="Z48" i="4"/>
  <c r="Z47" i="4"/>
  <c r="Z45" i="4"/>
  <c r="Z44" i="4"/>
  <c r="Z43" i="4"/>
  <c r="Z42" i="4"/>
  <c r="Z41" i="4"/>
  <c r="Z40" i="4"/>
  <c r="Z39" i="4"/>
  <c r="Z38" i="4"/>
  <c r="Z37" i="4"/>
  <c r="Z36" i="4"/>
  <c r="Z35" i="4"/>
  <c r="Z34" i="4"/>
  <c r="Z33" i="4"/>
  <c r="Z32" i="4"/>
  <c r="Z31" i="4"/>
  <c r="Z30" i="4"/>
  <c r="Z29" i="4"/>
  <c r="Z28" i="4"/>
  <c r="Z26" i="4"/>
  <c r="Z25" i="4"/>
  <c r="Z23" i="4"/>
  <c r="Z22" i="4"/>
  <c r="Z20" i="4"/>
  <c r="Z19" i="4"/>
  <c r="Z18" i="4"/>
  <c r="Z17" i="4"/>
  <c r="Z16" i="4"/>
  <c r="Z15" i="4"/>
  <c r="Z13" i="4"/>
  <c r="Z12" i="4"/>
  <c r="Z11" i="4"/>
  <c r="Z10" i="4"/>
  <c r="Z57" i="4"/>
  <c r="Y76" i="4"/>
  <c r="X76" i="4"/>
  <c r="W76" i="4"/>
  <c r="V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U76" i="4"/>
  <c r="Z24" i="4" l="1"/>
  <c r="Z27" i="4"/>
  <c r="W52" i="4"/>
  <c r="V62" i="4"/>
  <c r="W73" i="4" l="1"/>
  <c r="V73" i="4"/>
  <c r="U73" i="4"/>
  <c r="S73" i="4"/>
  <c r="W70" i="4"/>
  <c r="T70" i="4"/>
  <c r="S65" i="4"/>
  <c r="U64" i="4"/>
  <c r="S64" i="4"/>
  <c r="S62" i="4"/>
  <c r="U60" i="4"/>
  <c r="S60" i="4"/>
  <c r="U59" i="4"/>
  <c r="V58" i="4"/>
  <c r="U58" i="4"/>
  <c r="T58" i="4"/>
  <c r="U57" i="4"/>
  <c r="S56" i="4"/>
  <c r="R56" i="4"/>
  <c r="U55" i="4"/>
  <c r="S53" i="4"/>
  <c r="Z53" i="4" s="1"/>
  <c r="J48" i="4"/>
  <c r="H48" i="4"/>
  <c r="W47" i="4"/>
  <c r="P47" i="4"/>
  <c r="H47" i="4"/>
  <c r="G47" i="4"/>
  <c r="F47" i="4"/>
  <c r="P45" i="4"/>
  <c r="P42" i="4"/>
  <c r="P39" i="4"/>
  <c r="P37" i="4"/>
  <c r="V36" i="4"/>
  <c r="P33" i="4"/>
  <c r="H31" i="4"/>
  <c r="O26" i="4"/>
  <c r="K26" i="4"/>
  <c r="J26" i="4"/>
  <c r="H26" i="4"/>
  <c r="P25" i="4"/>
  <c r="P23" i="4"/>
  <c r="I23" i="4"/>
  <c r="H23" i="4"/>
  <c r="U22" i="4"/>
  <c r="L22" i="4"/>
  <c r="H22" i="4"/>
  <c r="G17" i="4"/>
  <c r="H15" i="4"/>
  <c r="G14" i="4"/>
  <c r="Z14" i="4" s="1"/>
  <c r="G13" i="4"/>
  <c r="G11" i="4"/>
  <c r="H10" i="4"/>
  <c r="G10" i="4"/>
  <c r="AA46" i="4" l="1"/>
  <c r="T76" i="4"/>
  <c r="S76" i="4"/>
  <c r="AA50" i="4"/>
  <c r="AA21" i="4"/>
  <c r="Z76" i="4"/>
  <c r="AA9" i="4"/>
  <c r="AA76" i="4" l="1"/>
  <c r="AB46" i="4" s="1"/>
  <c r="AB9" i="4" l="1"/>
  <c r="AB50" i="4"/>
  <c r="AB21" i="4"/>
</calcChain>
</file>

<file path=xl/sharedStrings.xml><?xml version="1.0" encoding="utf-8"?>
<sst xmlns="http://schemas.openxmlformats.org/spreadsheetml/2006/main" count="98" uniqueCount="90">
  <si>
    <t xml:space="preserve">          Sillas de Ruedas</t>
  </si>
  <si>
    <t>MUNICIPIO DE APODACA, NUEVO LEON</t>
  </si>
  <si>
    <t>PROGRAMA DE APOYO Y SOLIDARIDAD</t>
  </si>
  <si>
    <t>Resumen Mensual de Inversiones COVID-19</t>
  </si>
  <si>
    <t>2020-2021</t>
  </si>
  <si>
    <t>Concepto del Recurso Aplicado</t>
  </si>
  <si>
    <t>Marzo</t>
  </si>
  <si>
    <t>Abril</t>
  </si>
  <si>
    <t>Mayo</t>
  </si>
  <si>
    <t>Junio</t>
  </si>
  <si>
    <t>Julio</t>
  </si>
  <si>
    <t>Agosto</t>
  </si>
  <si>
    <t>Sept</t>
  </si>
  <si>
    <t>Oct</t>
  </si>
  <si>
    <t>Nov</t>
  </si>
  <si>
    <t>Dic</t>
  </si>
  <si>
    <t>Ene</t>
  </si>
  <si>
    <t>Feb</t>
  </si>
  <si>
    <t>Septiembre</t>
  </si>
  <si>
    <t>Acumulado</t>
  </si>
  <si>
    <t>Total</t>
  </si>
  <si>
    <t>%</t>
  </si>
  <si>
    <t xml:space="preserve">PROGRAMAS SOCIALES: </t>
  </si>
  <si>
    <t>Tarjetas de Vale de Despensa</t>
  </si>
  <si>
    <t>Adquisicion de Despensas</t>
  </si>
  <si>
    <t>Abasto Familiar (Mercados)</t>
  </si>
  <si>
    <t xml:space="preserve">          Subsidio Huevo</t>
  </si>
  <si>
    <t xml:space="preserve">          Toldos y Lonas</t>
  </si>
  <si>
    <t xml:space="preserve">         Alquiler de Mesas y Sillas</t>
  </si>
  <si>
    <t xml:space="preserve">         Camisetas</t>
  </si>
  <si>
    <t xml:space="preserve">          Cinchos y Cintillas de barricada</t>
  </si>
  <si>
    <t xml:space="preserve">          Conos para separacion</t>
  </si>
  <si>
    <t xml:space="preserve">          Extension Trifasica</t>
  </si>
  <si>
    <t xml:space="preserve">          boletos </t>
  </si>
  <si>
    <t>MATERIALES Y SUMINISTROS MUNICIPALES</t>
  </si>
  <si>
    <t xml:space="preserve">          Gel Antribacterial</t>
  </si>
  <si>
    <t xml:space="preserve">          Guantes Latex</t>
  </si>
  <si>
    <t xml:space="preserve">          Overol Desechable</t>
  </si>
  <si>
    <t xml:space="preserve">          Termometros de pistola</t>
  </si>
  <si>
    <t xml:space="preserve">          Sanitizacion de areas municipales</t>
  </si>
  <si>
    <t xml:space="preserve">          Pistola Nebulizadora</t>
  </si>
  <si>
    <t xml:space="preserve">          Biombo para consultorio med</t>
  </si>
  <si>
    <t xml:space="preserve">          Sillas-visita  IMSS</t>
  </si>
  <si>
    <t xml:space="preserve">          Oximetros Ser. Med</t>
  </si>
  <si>
    <t xml:space="preserve">          Caretas y Acrilicos Mostrador</t>
  </si>
  <si>
    <t xml:space="preserve">          Jabon liquido y cepillos </t>
  </si>
  <si>
    <t xml:space="preserve">          Tapetes sanitizantes</t>
  </si>
  <si>
    <t xml:space="preserve">          Sistemas Servidor Nube</t>
  </si>
  <si>
    <t xml:space="preserve">          Traslados de oximetros,batas y gogles</t>
  </si>
  <si>
    <t xml:space="preserve">          Dispensador de Pedal para gel con termometro</t>
  </si>
  <si>
    <t xml:space="preserve">          Kit de Bumanometro con Estestocopio</t>
  </si>
  <si>
    <t xml:space="preserve">          Electrodos</t>
  </si>
  <si>
    <t xml:space="preserve">         Sabanas Desechables</t>
  </si>
  <si>
    <t xml:space="preserve">         Alcohol</t>
  </si>
  <si>
    <t xml:space="preserve">        'Torundero y Torundas de Algodón</t>
  </si>
  <si>
    <t xml:space="preserve">        Cinta delimitadora</t>
  </si>
  <si>
    <t xml:space="preserve">        Botiquin Primeros Auxilios</t>
  </si>
  <si>
    <t xml:space="preserve">        Botella con Dispensador</t>
  </si>
  <si>
    <t>Materiales para Salubridad:</t>
  </si>
  <si>
    <t xml:space="preserve">          Cubre bocas</t>
  </si>
  <si>
    <t xml:space="preserve">          Renta de Sanitarios (Drive-True)</t>
  </si>
  <si>
    <t>Brigada Vacunacion COVID-19</t>
  </si>
  <si>
    <t xml:space="preserve">          Andadera Plegadiza</t>
  </si>
  <si>
    <t xml:space="preserve">         Refrigerio Campaña de Vacunación</t>
  </si>
  <si>
    <t xml:space="preserve">         'Termometros</t>
  </si>
  <si>
    <t xml:space="preserve">         'Barras de Hielo</t>
  </si>
  <si>
    <t xml:space="preserve">          Botellas de Agua y refrigerios</t>
  </si>
  <si>
    <t xml:space="preserve">         Renta de Sillas, Mesas, Manteles, Hieleras y Toldos.</t>
  </si>
  <si>
    <t xml:space="preserve">         Alimentos</t>
  </si>
  <si>
    <t xml:space="preserve">        'Lonas, formatos y banners</t>
  </si>
  <si>
    <t xml:space="preserve">         'Cables, multicontactos , luminarias reflector, extensión electrica</t>
  </si>
  <si>
    <t xml:space="preserve">         'Refrescos</t>
  </si>
  <si>
    <t xml:space="preserve">         Barra Energetica</t>
  </si>
  <si>
    <t xml:space="preserve">         'Paraguas</t>
  </si>
  <si>
    <t xml:space="preserve">         'Papeleria (Boligrafos, Banners y Tablas de Fibracel)</t>
  </si>
  <si>
    <t xml:space="preserve">         Formato Expediente Vacunación</t>
  </si>
  <si>
    <t xml:space="preserve">          Formato Campaña de Vacunacion</t>
  </si>
  <si>
    <t xml:space="preserve">         Invitación Vacunación COVID19</t>
  </si>
  <si>
    <t xml:space="preserve">        Fichas de Vacunación</t>
  </si>
  <si>
    <t xml:space="preserve">         Gaffete</t>
  </si>
  <si>
    <t xml:space="preserve">         'Congelador</t>
  </si>
  <si>
    <t xml:space="preserve">         Modulos portatiles y lavamanos</t>
  </si>
  <si>
    <t xml:space="preserve">         'Equipo de Sonido</t>
  </si>
  <si>
    <t xml:space="preserve">          Cinta Barricada, pica hielo.</t>
  </si>
  <si>
    <t>Totales mensuales</t>
  </si>
  <si>
    <t>Octubre</t>
  </si>
  <si>
    <t xml:space="preserve">         'Servicio de Ambulancia</t>
  </si>
  <si>
    <t xml:space="preserve">          Liquido Sanitizante y Desinfectante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</si>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</sst>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164" formatCode="&quot;$&quot;#,##0.00"/>
    <numFmt numFmtId="165" formatCode="_-&quot;$&quot;* #,##0_-;\-&quot;$&quot;* #,##0_-;_-&quot;$&quot;* &quot;-&quot;??_-;_-@_-"/>
    <numFmt numFmtId="166" formatCode="#,##0_ ;\-#,##0\ "/>
    <numFmt numFmtId="167" formatCode="#,##0.00_ ;\-#,##0.00\ "/>
    <numFmt numFmtId="168" formatCode="#,##0.0_ ;\-#,##0.0\ 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theme="0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0000"/>
      <name val="Calibri"/>
      <family val="2"/>
    </font>
    <font>
      <u/>
      <sz val="11"/>
      <color theme="10"/>
      <name val="Arial"/>
      <family val="2"/>
    </font>
    <font>
      <sz val="9"/>
      <color theme="1"/>
      <name val="Calibri"/>
      <family val="2"/>
    </font>
    <font>
      <sz val="9"/>
      <name val="Calibri"/>
      <family val="2"/>
    </font>
    <font>
      <sz val="9"/>
      <color theme="0"/>
      <name val="Calibri"/>
      <family val="2"/>
    </font>
    <font>
      <sz val="9"/>
      <color rgb="FF000000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9"/>
      <color rgb="FFC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theme="0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58">
    <xf numFmtId="0" fontId="0" fillId="0" borderId="0" xfId="0"/>
    <xf numFmtId="0" fontId="3" fillId="0" borderId="16" xfId="1" applyBorder="1"/>
    <xf numFmtId="0" fontId="3" fillId="2" borderId="7" xfId="1" applyFill="1" applyBorder="1"/>
    <xf numFmtId="0" fontId="4" fillId="2" borderId="17" xfId="1" applyFont="1" applyFill="1" applyBorder="1"/>
    <xf numFmtId="0" fontId="3" fillId="2" borderId="0" xfId="1" applyFill="1"/>
    <xf numFmtId="0" fontId="3" fillId="0" borderId="0" xfId="1"/>
    <xf numFmtId="0" fontId="7" fillId="6" borderId="10" xfId="1" applyFont="1" applyFill="1" applyBorder="1" applyAlignment="1">
      <alignment horizontal="center" vertical="center"/>
    </xf>
    <xf numFmtId="0" fontId="7" fillId="6" borderId="18" xfId="1" applyFont="1" applyFill="1" applyBorder="1" applyAlignment="1">
      <alignment horizontal="center" vertical="center"/>
    </xf>
    <xf numFmtId="17" fontId="7" fillId="6" borderId="9" xfId="1" applyNumberFormat="1" applyFont="1" applyFill="1" applyBorder="1" applyAlignment="1">
      <alignment horizontal="center" vertical="center"/>
    </xf>
    <xf numFmtId="17" fontId="7" fillId="6" borderId="10" xfId="1" applyNumberFormat="1" applyFont="1" applyFill="1" applyBorder="1" applyAlignment="1">
      <alignment horizontal="center" vertical="center"/>
    </xf>
    <xf numFmtId="9" fontId="0" fillId="6" borderId="11" xfId="2" applyFont="1" applyFill="1" applyBorder="1" applyAlignment="1">
      <alignment horizontal="center" vertical="center"/>
    </xf>
    <xf numFmtId="0" fontId="7" fillId="7" borderId="13" xfId="1" applyFont="1" applyFill="1" applyBorder="1" applyAlignment="1">
      <alignment horizontal="left" vertical="center"/>
    </xf>
    <xf numFmtId="0" fontId="8" fillId="7" borderId="20" xfId="1" applyFont="1" applyFill="1" applyBorder="1" applyAlignment="1">
      <alignment horizontal="center" vertical="center"/>
    </xf>
    <xf numFmtId="0" fontId="6" fillId="0" borderId="2" xfId="1" applyFont="1" applyBorder="1" applyAlignment="1">
      <alignment horizontal="center"/>
    </xf>
    <xf numFmtId="166" fontId="6" fillId="0" borderId="2" xfId="1" applyNumberFormat="1" applyFont="1" applyBorder="1" applyAlignment="1">
      <alignment vertical="center"/>
    </xf>
    <xf numFmtId="166" fontId="6" fillId="0" borderId="2" xfId="1" applyNumberFormat="1" applyFont="1" applyFill="1" applyBorder="1" applyAlignment="1">
      <alignment vertical="center"/>
    </xf>
    <xf numFmtId="0" fontId="3" fillId="2" borderId="21" xfId="1" applyFill="1" applyBorder="1"/>
    <xf numFmtId="166" fontId="7" fillId="0" borderId="2" xfId="1" applyNumberFormat="1" applyFont="1" applyBorder="1" applyAlignment="1">
      <alignment vertical="center"/>
    </xf>
    <xf numFmtId="166" fontId="7" fillId="0" borderId="2" xfId="1" applyNumberFormat="1" applyFont="1" applyFill="1" applyBorder="1" applyAlignment="1">
      <alignment vertical="center"/>
    </xf>
    <xf numFmtId="0" fontId="7" fillId="0" borderId="2" xfId="1" applyNumberFormat="1" applyFont="1" applyBorder="1" applyAlignment="1">
      <alignment vertical="center"/>
    </xf>
    <xf numFmtId="0" fontId="7" fillId="0" borderId="2" xfId="1" applyNumberFormat="1" applyFont="1" applyFill="1" applyBorder="1" applyAlignment="1">
      <alignment vertical="center"/>
    </xf>
    <xf numFmtId="0" fontId="6" fillId="7" borderId="2" xfId="1" quotePrefix="1" applyFont="1" applyFill="1" applyBorder="1" applyAlignment="1">
      <alignment horizontal="left"/>
    </xf>
    <xf numFmtId="166" fontId="6" fillId="7" borderId="2" xfId="1" applyNumberFormat="1" applyFont="1" applyFill="1" applyBorder="1" applyAlignment="1">
      <alignment vertical="center"/>
    </xf>
    <xf numFmtId="166" fontId="7" fillId="7" borderId="2" xfId="1" applyNumberFormat="1" applyFont="1" applyFill="1" applyBorder="1" applyAlignment="1">
      <alignment vertical="center"/>
    </xf>
    <xf numFmtId="166" fontId="3" fillId="7" borderId="2" xfId="1" applyNumberFormat="1" applyFill="1" applyBorder="1"/>
    <xf numFmtId="0" fontId="3" fillId="0" borderId="2" xfId="1" applyBorder="1"/>
    <xf numFmtId="0" fontId="7" fillId="0" borderId="2" xfId="1" applyFont="1" applyBorder="1"/>
    <xf numFmtId="1" fontId="7" fillId="0" borderId="2" xfId="1" applyNumberFormat="1" applyFont="1" applyBorder="1"/>
    <xf numFmtId="1" fontId="7" fillId="0" borderId="2" xfId="1" applyNumberFormat="1" applyFont="1" applyFill="1" applyBorder="1"/>
    <xf numFmtId="0" fontId="10" fillId="2" borderId="2" xfId="1" quotePrefix="1" applyFont="1" applyFill="1" applyBorder="1" applyAlignment="1"/>
    <xf numFmtId="3" fontId="9" fillId="2" borderId="2" xfId="3" applyNumberFormat="1" applyFont="1" applyFill="1" applyBorder="1"/>
    <xf numFmtId="3" fontId="9" fillId="0" borderId="2" xfId="3" applyNumberFormat="1" applyFont="1" applyFill="1" applyBorder="1"/>
    <xf numFmtId="0" fontId="1" fillId="2" borderId="2" xfId="1" quotePrefix="1" applyFont="1" applyFill="1" applyBorder="1" applyAlignment="1"/>
    <xf numFmtId="0" fontId="2" fillId="7" borderId="13" xfId="1" applyFont="1" applyFill="1" applyBorder="1"/>
    <xf numFmtId="166" fontId="6" fillId="7" borderId="13" xfId="1" applyNumberFormat="1" applyFont="1" applyFill="1" applyBorder="1" applyAlignment="1">
      <alignment vertical="center"/>
    </xf>
    <xf numFmtId="166" fontId="7" fillId="7" borderId="13" xfId="1" applyNumberFormat="1" applyFont="1" applyFill="1" applyBorder="1" applyAlignment="1">
      <alignment vertical="center"/>
    </xf>
    <xf numFmtId="166" fontId="7" fillId="7" borderId="20" xfId="1" applyNumberFormat="1" applyFont="1" applyFill="1" applyBorder="1" applyAlignment="1">
      <alignment vertical="center"/>
    </xf>
    <xf numFmtId="3" fontId="3" fillId="7" borderId="2" xfId="1" applyNumberFormat="1" applyFill="1" applyBorder="1"/>
    <xf numFmtId="166" fontId="6" fillId="2" borderId="0" xfId="1" applyNumberFormat="1" applyFont="1" applyFill="1" applyBorder="1" applyAlignment="1">
      <alignment vertical="center"/>
    </xf>
    <xf numFmtId="0" fontId="3" fillId="2" borderId="0" xfId="1" applyFill="1" applyBorder="1"/>
    <xf numFmtId="0" fontId="5" fillId="7" borderId="3" xfId="1" quotePrefix="1" applyFont="1" applyFill="1" applyBorder="1" applyAlignment="1">
      <alignment horizontal="left"/>
    </xf>
    <xf numFmtId="0" fontId="3" fillId="7" borderId="2" xfId="1" applyFill="1" applyBorder="1"/>
    <xf numFmtId="0" fontId="3" fillId="0" borderId="2" xfId="1" applyFill="1" applyBorder="1"/>
    <xf numFmtId="166" fontId="6" fillId="0" borderId="0" xfId="1" applyNumberFormat="1" applyFont="1" applyFill="1" applyBorder="1" applyAlignment="1">
      <alignment vertical="center"/>
    </xf>
    <xf numFmtId="0" fontId="2" fillId="0" borderId="13" xfId="1" applyFont="1" applyFill="1" applyBorder="1"/>
    <xf numFmtId="166" fontId="6" fillId="0" borderId="13" xfId="1" applyNumberFormat="1" applyFont="1" applyFill="1" applyBorder="1" applyAlignment="1">
      <alignment vertical="center"/>
    </xf>
    <xf numFmtId="166" fontId="7" fillId="0" borderId="13" xfId="1" applyNumberFormat="1" applyFont="1" applyFill="1" applyBorder="1" applyAlignment="1">
      <alignment vertical="center"/>
    </xf>
    <xf numFmtId="166" fontId="7" fillId="0" borderId="20" xfId="1" applyNumberFormat="1" applyFont="1" applyFill="1" applyBorder="1" applyAlignment="1">
      <alignment vertical="center"/>
    </xf>
    <xf numFmtId="0" fontId="3" fillId="0" borderId="0" xfId="1" applyAlignment="1">
      <alignment horizontal="center"/>
    </xf>
    <xf numFmtId="0" fontId="3" fillId="0" borderId="0" xfId="1" applyAlignment="1">
      <alignment horizontal="left"/>
    </xf>
    <xf numFmtId="165" fontId="3" fillId="0" borderId="0" xfId="1" applyNumberFormat="1"/>
    <xf numFmtId="164" fontId="3" fillId="0" borderId="0" xfId="1" applyNumberFormat="1"/>
    <xf numFmtId="0" fontId="3" fillId="0" borderId="7" xfId="1" applyBorder="1" applyAlignment="1">
      <alignment horizontal="center"/>
    </xf>
    <xf numFmtId="0" fontId="3" fillId="4" borderId="0" xfId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0" fontId="8" fillId="7" borderId="1" xfId="1" applyFont="1" applyFill="1" applyBorder="1" applyAlignment="1">
      <alignment horizontal="center" vertical="center"/>
    </xf>
    <xf numFmtId="0" fontId="6" fillId="0" borderId="3" xfId="1" applyFont="1" applyBorder="1" applyAlignment="1">
      <alignment horizontal="left"/>
    </xf>
    <xf numFmtId="0" fontId="6" fillId="0" borderId="3" xfId="1" applyFont="1" applyFill="1" applyBorder="1" applyAlignment="1">
      <alignment horizontal="left"/>
    </xf>
    <xf numFmtId="0" fontId="6" fillId="0" borderId="3" xfId="1" quotePrefix="1" applyFont="1" applyBorder="1" applyAlignment="1">
      <alignment horizontal="left"/>
    </xf>
    <xf numFmtId="0" fontId="6" fillId="7" borderId="3" xfId="1" applyFont="1" applyFill="1" applyBorder="1" applyAlignment="1">
      <alignment horizontal="left"/>
    </xf>
    <xf numFmtId="0" fontId="6" fillId="3" borderId="3" xfId="1" applyFont="1" applyFill="1" applyBorder="1" applyAlignment="1">
      <alignment horizontal="left"/>
    </xf>
    <xf numFmtId="0" fontId="6" fillId="3" borderId="3" xfId="1" quotePrefix="1" applyFont="1" applyFill="1" applyBorder="1" applyAlignment="1">
      <alignment horizontal="left"/>
    </xf>
    <xf numFmtId="166" fontId="6" fillId="0" borderId="3" xfId="1" quotePrefix="1" applyNumberFormat="1" applyFont="1" applyBorder="1" applyAlignment="1">
      <alignment horizontal="left" vertical="center"/>
    </xf>
    <xf numFmtId="0" fontId="9" fillId="2" borderId="3" xfId="1" quotePrefix="1" applyFont="1" applyFill="1" applyBorder="1" applyAlignment="1"/>
    <xf numFmtId="0" fontId="9" fillId="2" borderId="3" xfId="1" quotePrefix="1" applyFont="1" applyFill="1" applyBorder="1" applyAlignment="1">
      <alignment horizontal="left"/>
    </xf>
    <xf numFmtId="0" fontId="6" fillId="7" borderId="14" xfId="1" applyFont="1" applyFill="1" applyBorder="1" applyAlignment="1">
      <alignment horizontal="left"/>
    </xf>
    <xf numFmtId="0" fontId="6" fillId="7" borderId="5" xfId="1" quotePrefix="1" applyFont="1" applyFill="1" applyBorder="1" applyAlignment="1">
      <alignment horizontal="left"/>
    </xf>
    <xf numFmtId="166" fontId="7" fillId="7" borderId="4" xfId="1" applyNumberFormat="1" applyFont="1" applyFill="1" applyBorder="1" applyAlignment="1">
      <alignment vertical="center"/>
    </xf>
    <xf numFmtId="0" fontId="8" fillId="7" borderId="23" xfId="1" applyFont="1" applyFill="1" applyBorder="1" applyAlignment="1">
      <alignment horizontal="center" vertical="center"/>
    </xf>
    <xf numFmtId="166" fontId="6" fillId="0" borderId="15" xfId="1" applyNumberFormat="1" applyFont="1" applyBorder="1" applyAlignment="1">
      <alignment vertical="center"/>
    </xf>
    <xf numFmtId="166" fontId="6" fillId="0" borderId="24" xfId="1" applyNumberFormat="1" applyFont="1" applyBorder="1" applyAlignment="1">
      <alignment vertical="center"/>
    </xf>
    <xf numFmtId="166" fontId="7" fillId="0" borderId="24" xfId="1" applyNumberFormat="1" applyFont="1" applyBorder="1" applyAlignment="1">
      <alignment vertical="center"/>
    </xf>
    <xf numFmtId="166" fontId="7" fillId="7" borderId="24" xfId="1" applyNumberFormat="1" applyFont="1" applyFill="1" applyBorder="1" applyAlignment="1">
      <alignment vertical="center"/>
    </xf>
    <xf numFmtId="0" fontId="3" fillId="0" borderId="0" xfId="1" applyBorder="1"/>
    <xf numFmtId="0" fontId="7" fillId="0" borderId="24" xfId="1" applyFont="1" applyBorder="1"/>
    <xf numFmtId="166" fontId="7" fillId="7" borderId="23" xfId="1" applyNumberFormat="1" applyFont="1" applyFill="1" applyBorder="1" applyAlignment="1">
      <alignment vertical="center"/>
    </xf>
    <xf numFmtId="166" fontId="7" fillId="0" borderId="23" xfId="1" applyNumberFormat="1" applyFont="1" applyFill="1" applyBorder="1" applyAlignment="1">
      <alignment vertical="center"/>
    </xf>
    <xf numFmtId="166" fontId="11" fillId="7" borderId="25" xfId="1" applyNumberFormat="1" applyFont="1" applyFill="1" applyBorder="1" applyAlignment="1">
      <alignment horizontal="center" vertical="center"/>
    </xf>
    <xf numFmtId="166" fontId="11" fillId="7" borderId="26" xfId="1" applyNumberFormat="1" applyFont="1" applyFill="1" applyBorder="1" applyAlignment="1">
      <alignment horizontal="center" vertical="center"/>
    </xf>
    <xf numFmtId="166" fontId="11" fillId="7" borderId="27" xfId="1" applyNumberFormat="1" applyFont="1" applyFill="1" applyBorder="1" applyAlignment="1">
      <alignment horizontal="center" vertical="center"/>
    </xf>
    <xf numFmtId="166" fontId="6" fillId="2" borderId="4" xfId="1" applyNumberFormat="1" applyFont="1" applyFill="1" applyBorder="1" applyAlignment="1">
      <alignment vertical="center"/>
    </xf>
    <xf numFmtId="166" fontId="6" fillId="7" borderId="4" xfId="1" applyNumberFormat="1" applyFont="1" applyFill="1" applyBorder="1" applyAlignment="1">
      <alignment vertical="center"/>
    </xf>
    <xf numFmtId="166" fontId="7" fillId="0" borderId="15" xfId="1" applyNumberFormat="1" applyFont="1" applyBorder="1" applyAlignment="1">
      <alignment vertical="center"/>
    </xf>
    <xf numFmtId="0" fontId="7" fillId="0" borderId="15" xfId="1" applyNumberFormat="1" applyFont="1" applyBorder="1" applyAlignment="1">
      <alignment vertical="center"/>
    </xf>
    <xf numFmtId="166" fontId="7" fillId="7" borderId="15" xfId="1" applyNumberFormat="1" applyFont="1" applyFill="1" applyBorder="1" applyAlignment="1">
      <alignment vertical="center"/>
    </xf>
    <xf numFmtId="0" fontId="7" fillId="0" borderId="15" xfId="1" applyFont="1" applyBorder="1"/>
    <xf numFmtId="166" fontId="7" fillId="7" borderId="12" xfId="1" applyNumberFormat="1" applyFont="1" applyFill="1" applyBorder="1" applyAlignment="1">
      <alignment vertical="center"/>
    </xf>
    <xf numFmtId="166" fontId="7" fillId="0" borderId="12" xfId="1" applyNumberFormat="1" applyFont="1" applyFill="1" applyBorder="1" applyAlignment="1">
      <alignment vertical="center"/>
    </xf>
    <xf numFmtId="0" fontId="3" fillId="0" borderId="7" xfId="1" applyBorder="1" applyAlignment="1">
      <alignment horizontal="center"/>
    </xf>
    <xf numFmtId="0" fontId="3" fillId="5" borderId="8" xfId="1" applyFill="1" applyBorder="1" applyAlignment="1">
      <alignment horizontal="center" vertical="center"/>
    </xf>
    <xf numFmtId="0" fontId="13" fillId="0" borderId="0" xfId="1" applyFont="1"/>
    <xf numFmtId="0" fontId="14" fillId="6" borderId="9" xfId="1" applyFont="1" applyFill="1" applyBorder="1" applyAlignment="1">
      <alignment horizontal="center" vertical="center"/>
    </xf>
    <xf numFmtId="0" fontId="15" fillId="7" borderId="12" xfId="1" applyFont="1" applyFill="1" applyBorder="1" applyAlignment="1">
      <alignment horizontal="center" vertical="center"/>
    </xf>
    <xf numFmtId="166" fontId="16" fillId="0" borderId="15" xfId="1" applyNumberFormat="1" applyFont="1" applyBorder="1" applyAlignment="1">
      <alignment vertical="center"/>
    </xf>
    <xf numFmtId="166" fontId="16" fillId="7" borderId="15" xfId="1" applyNumberFormat="1" applyFont="1" applyFill="1" applyBorder="1" applyAlignment="1">
      <alignment vertical="center"/>
    </xf>
    <xf numFmtId="0" fontId="13" fillId="0" borderId="15" xfId="1" applyFont="1" applyBorder="1"/>
    <xf numFmtId="0" fontId="17" fillId="2" borderId="15" xfId="1" quotePrefix="1" applyFont="1" applyFill="1" applyBorder="1" applyAlignment="1"/>
    <xf numFmtId="0" fontId="18" fillId="2" borderId="15" xfId="1" quotePrefix="1" applyFont="1" applyFill="1" applyBorder="1" applyAlignment="1"/>
    <xf numFmtId="166" fontId="16" fillId="7" borderId="12" xfId="1" applyNumberFormat="1" applyFont="1" applyFill="1" applyBorder="1" applyAlignment="1">
      <alignment vertical="center"/>
    </xf>
    <xf numFmtId="166" fontId="16" fillId="0" borderId="12" xfId="1" applyNumberFormat="1" applyFont="1" applyFill="1" applyBorder="1" applyAlignment="1">
      <alignment vertical="center"/>
    </xf>
    <xf numFmtId="166" fontId="19" fillId="7" borderId="25" xfId="1" applyNumberFormat="1" applyFont="1" applyFill="1" applyBorder="1" applyAlignment="1">
      <alignment horizontal="center" vertical="center"/>
    </xf>
    <xf numFmtId="0" fontId="20" fillId="0" borderId="0" xfId="1" applyFont="1"/>
    <xf numFmtId="0" fontId="13" fillId="0" borderId="7" xfId="1" applyFont="1" applyBorder="1" applyAlignment="1">
      <alignment horizontal="center"/>
    </xf>
    <xf numFmtId="0" fontId="14" fillId="6" borderId="10" xfId="1" applyFont="1" applyFill="1" applyBorder="1" applyAlignment="1">
      <alignment horizontal="center" vertical="center"/>
    </xf>
    <xf numFmtId="0" fontId="15" fillId="7" borderId="20" xfId="1" applyFont="1" applyFill="1" applyBorder="1" applyAlignment="1">
      <alignment horizontal="center" vertical="center"/>
    </xf>
    <xf numFmtId="166" fontId="16" fillId="0" borderId="2" xfId="1" applyNumberFormat="1" applyFont="1" applyBorder="1" applyAlignment="1">
      <alignment vertical="center"/>
    </xf>
    <xf numFmtId="166" fontId="14" fillId="0" borderId="2" xfId="1" applyNumberFormat="1" applyFont="1" applyBorder="1" applyAlignment="1">
      <alignment vertical="center"/>
    </xf>
    <xf numFmtId="166" fontId="14" fillId="7" borderId="2" xfId="1" applyNumberFormat="1" applyFont="1" applyFill="1" applyBorder="1" applyAlignment="1">
      <alignment vertical="center"/>
    </xf>
    <xf numFmtId="0" fontId="14" fillId="0" borderId="2" xfId="1" applyFont="1" applyBorder="1"/>
    <xf numFmtId="166" fontId="14" fillId="7" borderId="20" xfId="1" applyNumberFormat="1" applyFont="1" applyFill="1" applyBorder="1" applyAlignment="1">
      <alignment vertical="center"/>
    </xf>
    <xf numFmtId="166" fontId="14" fillId="0" borderId="20" xfId="1" applyNumberFormat="1" applyFont="1" applyFill="1" applyBorder="1" applyAlignment="1">
      <alignment vertical="center"/>
    </xf>
    <xf numFmtId="166" fontId="19" fillId="7" borderId="26" xfId="1" applyNumberFormat="1" applyFont="1" applyFill="1" applyBorder="1" applyAlignment="1">
      <alignment horizontal="center" vertical="center"/>
    </xf>
    <xf numFmtId="165" fontId="13" fillId="0" borderId="0" xfId="1" applyNumberFormat="1" applyFont="1"/>
    <xf numFmtId="166" fontId="7" fillId="7" borderId="1" xfId="1" applyNumberFormat="1" applyFont="1" applyFill="1" applyBorder="1" applyAlignment="1">
      <alignment vertical="center"/>
    </xf>
    <xf numFmtId="166" fontId="6" fillId="0" borderId="3" xfId="1" applyNumberFormat="1" applyFont="1" applyFill="1" applyBorder="1" applyAlignment="1">
      <alignment vertical="center"/>
    </xf>
    <xf numFmtId="166" fontId="7" fillId="0" borderId="3" xfId="1" applyNumberFormat="1" applyFont="1" applyFill="1" applyBorder="1" applyAlignment="1">
      <alignment vertical="center"/>
    </xf>
    <xf numFmtId="0" fontId="7" fillId="0" borderId="3" xfId="1" applyNumberFormat="1" applyFont="1" applyFill="1" applyBorder="1" applyAlignment="1">
      <alignment vertical="center"/>
    </xf>
    <xf numFmtId="166" fontId="7" fillId="7" borderId="3" xfId="1" applyNumberFormat="1" applyFont="1" applyFill="1" applyBorder="1" applyAlignment="1">
      <alignment vertical="center"/>
    </xf>
    <xf numFmtId="1" fontId="7" fillId="0" borderId="3" xfId="1" applyNumberFormat="1" applyFont="1" applyFill="1" applyBorder="1"/>
    <xf numFmtId="3" fontId="9" fillId="0" borderId="3" xfId="3" applyNumberFormat="1" applyFont="1" applyFill="1" applyBorder="1"/>
    <xf numFmtId="0" fontId="3" fillId="0" borderId="3" xfId="1" applyFill="1" applyBorder="1"/>
    <xf numFmtId="166" fontId="11" fillId="7" borderId="28" xfId="1" applyNumberFormat="1" applyFont="1" applyFill="1" applyBorder="1" applyAlignment="1">
      <alignment horizontal="center" vertical="center"/>
    </xf>
    <xf numFmtId="166" fontId="6" fillId="0" borderId="0" xfId="1" applyNumberFormat="1" applyFont="1" applyBorder="1" applyAlignment="1">
      <alignment vertical="center"/>
    </xf>
    <xf numFmtId="166" fontId="6" fillId="0" borderId="0" xfId="1" applyNumberFormat="1" applyFont="1" applyBorder="1" applyAlignment="1">
      <alignment horizontal="center" vertical="center"/>
    </xf>
    <xf numFmtId="0" fontId="8" fillId="7" borderId="30" xfId="1" applyFont="1" applyFill="1" applyBorder="1" applyAlignment="1">
      <alignment horizontal="center" vertical="center"/>
    </xf>
    <xf numFmtId="0" fontId="8" fillId="7" borderId="31" xfId="1" applyFont="1" applyFill="1" applyBorder="1" applyAlignment="1">
      <alignment horizontal="center" vertical="center"/>
    </xf>
    <xf numFmtId="0" fontId="8" fillId="7" borderId="32" xfId="1" applyFont="1" applyFill="1" applyBorder="1" applyAlignment="1">
      <alignment horizontal="center" vertical="center"/>
    </xf>
    <xf numFmtId="0" fontId="8" fillId="7" borderId="33" xfId="1" applyFont="1" applyFill="1" applyBorder="1" applyAlignment="1">
      <alignment horizontal="center" vertical="center"/>
    </xf>
    <xf numFmtId="166" fontId="3" fillId="7" borderId="33" xfId="1" applyNumberFormat="1" applyFill="1" applyBorder="1"/>
    <xf numFmtId="9" fontId="0" fillId="7" borderId="34" xfId="2" applyNumberFormat="1" applyFont="1" applyFill="1" applyBorder="1" applyAlignment="1">
      <alignment horizontal="center"/>
    </xf>
    <xf numFmtId="9" fontId="0" fillId="2" borderId="35" xfId="2" applyFont="1" applyFill="1" applyBorder="1" applyAlignment="1">
      <alignment horizontal="center"/>
    </xf>
    <xf numFmtId="9" fontId="0" fillId="7" borderId="24" xfId="2" applyNumberFormat="1" applyFont="1" applyFill="1" applyBorder="1" applyAlignment="1">
      <alignment horizontal="center"/>
    </xf>
    <xf numFmtId="9" fontId="0" fillId="7" borderId="36" xfId="2" applyNumberFormat="1" applyFont="1" applyFill="1" applyBorder="1" applyAlignment="1">
      <alignment horizontal="center"/>
    </xf>
    <xf numFmtId="0" fontId="3" fillId="2" borderId="36" xfId="1" applyFill="1" applyBorder="1"/>
    <xf numFmtId="0" fontId="3" fillId="2" borderId="35" xfId="1" applyFill="1" applyBorder="1"/>
    <xf numFmtId="0" fontId="3" fillId="0" borderId="35" xfId="1" applyFill="1" applyBorder="1"/>
    <xf numFmtId="0" fontId="3" fillId="2" borderId="37" xfId="1" applyFill="1" applyBorder="1"/>
    <xf numFmtId="9" fontId="4" fillId="7" borderId="29" xfId="1" applyNumberFormat="1" applyFont="1" applyFill="1" applyBorder="1" applyAlignment="1">
      <alignment horizontal="center" vertical="center"/>
    </xf>
    <xf numFmtId="0" fontId="3" fillId="0" borderId="7" xfId="1" applyBorder="1" applyAlignment="1">
      <alignment horizontal="center"/>
    </xf>
    <xf numFmtId="0" fontId="7" fillId="6" borderId="19" xfId="1" applyFont="1" applyFill="1" applyBorder="1" applyAlignment="1">
      <alignment horizontal="center" vertical="center"/>
    </xf>
    <xf numFmtId="0" fontId="7" fillId="6" borderId="22" xfId="1" applyFont="1" applyFill="1" applyBorder="1" applyAlignment="1">
      <alignment horizontal="center" vertical="center"/>
    </xf>
    <xf numFmtId="0" fontId="11" fillId="7" borderId="2" xfId="1" applyFont="1" applyFill="1" applyBorder="1" applyAlignment="1">
      <alignment horizontal="center" vertical="center"/>
    </xf>
    <xf numFmtId="0" fontId="11" fillId="7" borderId="3" xfId="1" applyFont="1" applyFill="1" applyBorder="1" applyAlignment="1">
      <alignment horizontal="center" vertical="center"/>
    </xf>
    <xf numFmtId="0" fontId="3" fillId="0" borderId="7" xfId="1" applyBorder="1" applyAlignment="1">
      <alignment horizontal="center"/>
    </xf>
    <xf numFmtId="0" fontId="5" fillId="4" borderId="0" xfId="1" applyFont="1" applyFill="1" applyBorder="1" applyAlignment="1">
      <alignment horizontal="center" vertical="center" wrapText="1"/>
    </xf>
    <xf numFmtId="0" fontId="6" fillId="4" borderId="0" xfId="1" applyFont="1" applyFill="1" applyBorder="1" applyAlignment="1">
      <alignment horizontal="center"/>
    </xf>
    <xf numFmtId="0" fontId="6" fillId="4" borderId="0" xfId="1" quotePrefix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/>
    </xf>
    <xf numFmtId="0" fontId="3" fillId="4" borderId="0" xfId="1" applyFill="1" applyBorder="1" applyAlignment="1">
      <alignment horizontal="center" vertical="center"/>
    </xf>
    <xf numFmtId="0" fontId="3" fillId="5" borderId="9" xfId="1" applyFill="1" applyBorder="1" applyAlignment="1">
      <alignment horizontal="center" vertical="center"/>
    </xf>
    <xf numFmtId="0" fontId="3" fillId="5" borderId="10" xfId="1" applyFill="1" applyBorder="1" applyAlignment="1">
      <alignment horizontal="center" vertical="center"/>
    </xf>
    <xf numFmtId="0" fontId="3" fillId="5" borderId="18" xfId="1" applyFill="1" applyBorder="1" applyAlignment="1">
      <alignment horizontal="center" vertical="center"/>
    </xf>
    <xf numFmtId="0" fontId="3" fillId="5" borderId="6" xfId="1" applyFill="1" applyBorder="1" applyAlignment="1">
      <alignment horizontal="center" vertical="center"/>
    </xf>
    <xf numFmtId="0" fontId="3" fillId="5" borderId="7" xfId="1" applyFill="1" applyBorder="1" applyAlignment="1">
      <alignment horizontal="center" vertical="center"/>
    </xf>
    <xf numFmtId="0" fontId="3" fillId="5" borderId="0" xfId="1" applyFill="1" applyBorder="1" applyAlignment="1">
      <alignment horizontal="center" vertical="center"/>
    </xf>
    <xf numFmtId="167" fontId="6" fillId="2" borderId="4" xfId="1" applyNumberFormat="1" applyFont="1" applyFill="1" applyBorder="1" applyAlignment="1">
      <alignment vertical="center"/>
    </xf>
    <xf numFmtId="168" fontId="6" fillId="2" borderId="4" xfId="1" applyNumberFormat="1" applyFont="1" applyFill="1" applyBorder="1" applyAlignment="1">
      <alignment vertical="center"/>
    </xf>
  </cellXfs>
  <cellStyles count="5">
    <cellStyle name="Hipervínculo 2" xfId="4"/>
    <cellStyle name="Moneda 2" xfId="3"/>
    <cellStyle name="Normal" xfId="0" builtinId="0"/>
    <cellStyle name="Normal 2" xfId="1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751609</xdr:colOff>
      <xdr:row>1</xdr:row>
      <xdr:rowOff>19050</xdr:rowOff>
    </xdr:from>
    <xdr:to>
      <xdr:col>27</xdr:col>
      <xdr:colOff>38101</xdr:colOff>
      <xdr:row>2</xdr:row>
      <xdr:rowOff>10976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64E843EB-6DEB-2242-8D10-E7625862E7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609" y="190500"/>
          <a:ext cx="19117542" cy="715826"/>
        </a:xfrm>
        <a:prstGeom prst="rect">
          <a:avLst/>
        </a:prstGeom>
      </xdr:spPr>
    </xdr:pic>
    <xdr:clientData/>
  </xdr:twoCellAnchor>
  <xdr:twoCellAnchor editAs="oneCell">
    <xdr:from>
      <xdr:col>1</xdr:col>
      <xdr:colOff>236045</xdr:colOff>
      <xdr:row>2</xdr:row>
      <xdr:rowOff>55178</xdr:rowOff>
    </xdr:from>
    <xdr:to>
      <xdr:col>2</xdr:col>
      <xdr:colOff>1134341</xdr:colOff>
      <xdr:row>5</xdr:row>
      <xdr:rowOff>476249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3565EC12-50BD-BB47-9C05-D7FDBF6664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045" y="779078"/>
          <a:ext cx="1279296" cy="983046"/>
        </a:xfrm>
        <a:prstGeom prst="rect">
          <a:avLst/>
        </a:prstGeom>
      </xdr:spPr>
    </xdr:pic>
    <xdr:clientData/>
  </xdr:twoCellAnchor>
  <xdr:twoCellAnchor editAs="oneCell">
    <xdr:from>
      <xdr:col>25</xdr:col>
      <xdr:colOff>259774</xdr:colOff>
      <xdr:row>2</xdr:row>
      <xdr:rowOff>42479</xdr:rowOff>
    </xdr:from>
    <xdr:to>
      <xdr:col>26</xdr:col>
      <xdr:colOff>710046</xdr:colOff>
      <xdr:row>6</xdr:row>
      <xdr:rowOff>77932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8B58179F-3A46-6947-952C-D49EA0AC02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19199" y="766379"/>
          <a:ext cx="1250372" cy="11784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89"/>
  <sheetViews>
    <sheetView tabSelected="1" topLeftCell="D37" zoomScaleNormal="100" workbookViewId="0">
      <selection activeCell="AA76" sqref="AA76"/>
    </sheetView>
  </sheetViews>
  <sheetFormatPr baseColWidth="10" defaultRowHeight="12.75" x14ac:dyDescent="0.2"/>
  <cols>
    <col min="1" max="1" width="11.42578125" style="5"/>
    <col min="2" max="2" width="5.7109375" style="5" customWidth="1"/>
    <col min="3" max="3" width="34.5703125" style="5" customWidth="1"/>
    <col min="4" max="4" width="8.85546875" style="91" customWidth="1"/>
    <col min="5" max="5" width="12.140625" style="5" customWidth="1"/>
    <col min="6" max="6" width="10.140625" style="5" customWidth="1"/>
    <col min="7" max="7" width="12.5703125" style="5" customWidth="1"/>
    <col min="8" max="10" width="10.28515625" style="5" customWidth="1"/>
    <col min="11" max="12" width="6.85546875" style="91" customWidth="1"/>
    <col min="13" max="25" width="10.28515625" style="5" customWidth="1"/>
    <col min="26" max="26" width="12" style="5" customWidth="1"/>
    <col min="27" max="27" width="11.7109375" style="5" bestFit="1" customWidth="1"/>
    <col min="28" max="28" width="6.140625" style="5" customWidth="1"/>
    <col min="29" max="16384" width="11.42578125" style="5"/>
  </cols>
  <sheetData>
    <row r="1" spans="1:60" ht="13.5" thickBot="1" x14ac:dyDescent="0.25"/>
    <row r="2" spans="1:60" ht="57" customHeight="1" x14ac:dyDescent="0.2">
      <c r="A2" s="1"/>
      <c r="B2" s="144"/>
      <c r="C2" s="144"/>
      <c r="D2" s="144"/>
      <c r="E2" s="144"/>
      <c r="F2" s="144"/>
      <c r="G2" s="144"/>
      <c r="H2" s="52"/>
      <c r="I2" s="52"/>
      <c r="J2" s="52"/>
      <c r="K2" s="103"/>
      <c r="L2" s="103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89"/>
      <c r="Y2" s="139"/>
      <c r="Z2" s="2"/>
      <c r="AA2" s="2"/>
      <c r="AB2" s="2"/>
      <c r="AC2" s="3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</row>
    <row r="3" spans="1:60" ht="18.95" customHeight="1" x14ac:dyDescent="0.2">
      <c r="A3" s="1"/>
      <c r="B3" s="145" t="s">
        <v>1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3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</row>
    <row r="4" spans="1:60" x14ac:dyDescent="0.2">
      <c r="A4" s="1"/>
      <c r="B4" s="146" t="s">
        <v>2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3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</row>
    <row r="5" spans="1:60" x14ac:dyDescent="0.2">
      <c r="A5" s="1"/>
      <c r="B5" s="147" t="s">
        <v>3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3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</row>
    <row r="6" spans="1:60" ht="45.75" customHeight="1" thickBot="1" x14ac:dyDescent="0.25">
      <c r="A6" s="1"/>
      <c r="B6" s="149" t="s">
        <v>4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3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24.6" customHeight="1" thickBot="1" x14ac:dyDescent="0.25">
      <c r="B7" s="150">
        <v>2020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2"/>
      <c r="N7" s="153">
        <v>2021</v>
      </c>
      <c r="O7" s="154"/>
      <c r="P7" s="154"/>
      <c r="Q7" s="154"/>
      <c r="R7" s="154"/>
      <c r="S7" s="154"/>
      <c r="T7" s="154"/>
      <c r="U7" s="154"/>
      <c r="V7" s="154"/>
      <c r="W7" s="154"/>
      <c r="X7" s="90"/>
      <c r="Y7" s="155"/>
      <c r="Z7" s="53"/>
      <c r="AA7" s="53"/>
      <c r="AB7" s="53"/>
      <c r="AC7" s="3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</row>
    <row r="8" spans="1:60" ht="29.25" customHeight="1" thickBot="1" x14ac:dyDescent="0.25">
      <c r="B8" s="140" t="s">
        <v>5</v>
      </c>
      <c r="C8" s="141"/>
      <c r="D8" s="92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  <c r="J8" s="6" t="s">
        <v>12</v>
      </c>
      <c r="K8" s="104" t="s">
        <v>13</v>
      </c>
      <c r="L8" s="104" t="s">
        <v>14</v>
      </c>
      <c r="M8" s="7" t="s">
        <v>15</v>
      </c>
      <c r="N8" s="8" t="s">
        <v>16</v>
      </c>
      <c r="O8" s="9" t="s">
        <v>17</v>
      </c>
      <c r="P8" s="9" t="s">
        <v>6</v>
      </c>
      <c r="Q8" s="9" t="s">
        <v>7</v>
      </c>
      <c r="R8" s="9" t="s">
        <v>8</v>
      </c>
      <c r="S8" s="9" t="s">
        <v>9</v>
      </c>
      <c r="T8" s="9" t="s">
        <v>10</v>
      </c>
      <c r="U8" s="9" t="s">
        <v>11</v>
      </c>
      <c r="V8" s="9" t="s">
        <v>18</v>
      </c>
      <c r="W8" s="9" t="s">
        <v>85</v>
      </c>
      <c r="X8" s="9" t="s">
        <v>88</v>
      </c>
      <c r="Y8" s="9" t="s">
        <v>89</v>
      </c>
      <c r="Z8" s="6" t="s">
        <v>19</v>
      </c>
      <c r="AA8" s="6" t="s">
        <v>20</v>
      </c>
      <c r="AB8" s="10" t="s">
        <v>21</v>
      </c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</row>
    <row r="9" spans="1:60" s="4" customFormat="1" ht="12" customHeight="1" x14ac:dyDescent="0.25">
      <c r="B9" s="11" t="s">
        <v>22</v>
      </c>
      <c r="C9" s="56"/>
      <c r="D9" s="93"/>
      <c r="E9" s="12"/>
      <c r="F9" s="12"/>
      <c r="G9" s="12"/>
      <c r="H9" s="12"/>
      <c r="I9" s="12"/>
      <c r="J9" s="12"/>
      <c r="K9" s="105"/>
      <c r="L9" s="105"/>
      <c r="M9" s="69"/>
      <c r="N9" s="125"/>
      <c r="O9" s="126"/>
      <c r="P9" s="126"/>
      <c r="Q9" s="126"/>
      <c r="R9" s="126"/>
      <c r="S9" s="126"/>
      <c r="T9" s="126"/>
      <c r="U9" s="126"/>
      <c r="V9" s="126"/>
      <c r="W9" s="127"/>
      <c r="X9" s="128"/>
      <c r="Y9" s="128"/>
      <c r="Z9" s="126"/>
      <c r="AA9" s="129">
        <f>SUM(Z10:Z20)</f>
        <v>64756310.039999999</v>
      </c>
      <c r="AB9" s="130">
        <f>+AA9/AA76</f>
        <v>0.67160324744190925</v>
      </c>
    </row>
    <row r="10" spans="1:60" ht="12" customHeight="1" x14ac:dyDescent="0.25">
      <c r="B10" s="13"/>
      <c r="C10" s="57" t="s">
        <v>23</v>
      </c>
      <c r="D10" s="94">
        <v>2000000</v>
      </c>
      <c r="E10" s="14">
        <v>16116116</v>
      </c>
      <c r="F10" s="14">
        <v>14124384</v>
      </c>
      <c r="G10" s="14">
        <f>7759012+2000000</f>
        <v>9759012</v>
      </c>
      <c r="H10" s="14">
        <f>3080692+56500+78250</f>
        <v>3215442</v>
      </c>
      <c r="I10" s="14">
        <v>229556</v>
      </c>
      <c r="J10" s="14"/>
      <c r="K10" s="106"/>
      <c r="L10" s="106"/>
      <c r="M10" s="71"/>
      <c r="N10" s="70"/>
      <c r="O10" s="14"/>
      <c r="P10" s="15"/>
      <c r="Q10" s="15"/>
      <c r="R10" s="15"/>
      <c r="S10" s="15"/>
      <c r="T10" s="15"/>
      <c r="U10" s="15"/>
      <c r="V10" s="15"/>
      <c r="W10" s="115"/>
      <c r="X10" s="15"/>
      <c r="Y10" s="15"/>
      <c r="Z10" s="81">
        <f>SUM(D10:D10:Y10)</f>
        <v>45444510</v>
      </c>
      <c r="AA10" s="16"/>
      <c r="AB10" s="131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</row>
    <row r="11" spans="1:60" ht="12" customHeight="1" x14ac:dyDescent="0.25">
      <c r="B11" s="13"/>
      <c r="C11" s="57" t="s">
        <v>24</v>
      </c>
      <c r="D11" s="94"/>
      <c r="E11" s="14">
        <v>212500</v>
      </c>
      <c r="F11" s="14">
        <v>10400000</v>
      </c>
      <c r="G11" s="14">
        <f>2925000+2925000</f>
        <v>5850000</v>
      </c>
      <c r="H11" s="17">
        <v>93600</v>
      </c>
      <c r="I11" s="17"/>
      <c r="J11" s="17"/>
      <c r="K11" s="107"/>
      <c r="L11" s="107"/>
      <c r="M11" s="72"/>
      <c r="N11" s="83"/>
      <c r="O11" s="17"/>
      <c r="P11" s="18"/>
      <c r="Q11" s="18"/>
      <c r="R11" s="18"/>
      <c r="S11" s="18"/>
      <c r="T11" s="18"/>
      <c r="U11" s="18"/>
      <c r="V11" s="18"/>
      <c r="W11" s="116"/>
      <c r="X11" s="18"/>
      <c r="Y11" s="18"/>
      <c r="Z11" s="81">
        <f>SUM(D11:D11:Y11)</f>
        <v>16556100</v>
      </c>
      <c r="AA11" s="16"/>
      <c r="AB11" s="131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</row>
    <row r="12" spans="1:60" ht="12" customHeight="1" x14ac:dyDescent="0.25">
      <c r="B12" s="13"/>
      <c r="C12" s="57" t="s">
        <v>25</v>
      </c>
      <c r="D12" s="94"/>
      <c r="E12" s="14"/>
      <c r="F12" s="14"/>
      <c r="G12" s="14"/>
      <c r="H12" s="14"/>
      <c r="I12" s="14"/>
      <c r="J12" s="14"/>
      <c r="K12" s="106"/>
      <c r="L12" s="106"/>
      <c r="M12" s="71"/>
      <c r="N12" s="70"/>
      <c r="O12" s="14"/>
      <c r="P12" s="15"/>
      <c r="Q12" s="15"/>
      <c r="R12" s="15"/>
      <c r="S12" s="15"/>
      <c r="T12" s="15"/>
      <c r="U12" s="15"/>
      <c r="V12" s="15"/>
      <c r="W12" s="115"/>
      <c r="X12" s="15"/>
      <c r="Y12" s="15"/>
      <c r="Z12" s="81">
        <f>SUM(D12:D12:Y12)</f>
        <v>0</v>
      </c>
      <c r="AA12" s="16"/>
      <c r="AB12" s="131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</row>
    <row r="13" spans="1:60" ht="12" customHeight="1" x14ac:dyDescent="0.25">
      <c r="B13" s="13"/>
      <c r="C13" s="58" t="s">
        <v>26</v>
      </c>
      <c r="D13" s="94"/>
      <c r="E13" s="14">
        <v>300000</v>
      </c>
      <c r="F13" s="14">
        <v>710000</v>
      </c>
      <c r="G13" s="14">
        <f>130000+240000+120000</f>
        <v>490000</v>
      </c>
      <c r="H13" s="14"/>
      <c r="I13" s="14"/>
      <c r="J13" s="17"/>
      <c r="K13" s="107"/>
      <c r="L13" s="107"/>
      <c r="M13" s="72"/>
      <c r="N13" s="83"/>
      <c r="O13" s="17"/>
      <c r="P13" s="18"/>
      <c r="Q13" s="18"/>
      <c r="R13" s="18"/>
      <c r="S13" s="18"/>
      <c r="T13" s="18"/>
      <c r="U13" s="18"/>
      <c r="V13" s="18"/>
      <c r="W13" s="116"/>
      <c r="X13" s="18"/>
      <c r="Y13" s="18"/>
      <c r="Z13" s="81">
        <f>SUM(D13:D13:Y13)</f>
        <v>1500000</v>
      </c>
      <c r="AA13" s="16"/>
      <c r="AB13" s="131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</row>
    <row r="14" spans="1:60" ht="12" customHeight="1" x14ac:dyDescent="0.25">
      <c r="B14" s="13"/>
      <c r="C14" s="59" t="s">
        <v>27</v>
      </c>
      <c r="D14" s="94"/>
      <c r="E14" s="14">
        <v>84680</v>
      </c>
      <c r="F14" s="14">
        <v>161343</v>
      </c>
      <c r="G14" s="17">
        <f>4060+4810.75+1603.58+1069.06+33408+9744</f>
        <v>54695.39</v>
      </c>
      <c r="H14" s="17"/>
      <c r="I14" s="17"/>
      <c r="J14" s="17">
        <v>29000</v>
      </c>
      <c r="K14" s="107"/>
      <c r="L14" s="107"/>
      <c r="M14" s="72"/>
      <c r="N14" s="84">
        <v>6830.08</v>
      </c>
      <c r="O14" s="19"/>
      <c r="P14" s="20"/>
      <c r="Q14" s="20"/>
      <c r="R14" s="20"/>
      <c r="S14" s="20"/>
      <c r="T14" s="20"/>
      <c r="U14" s="20"/>
      <c r="V14" s="20"/>
      <c r="W14" s="117"/>
      <c r="X14" s="20"/>
      <c r="Y14" s="20"/>
      <c r="Z14" s="81">
        <f>SUM(D14:D14:X14)</f>
        <v>336548.47000000003</v>
      </c>
      <c r="AA14" s="16"/>
      <c r="AB14" s="131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</row>
    <row r="15" spans="1:60" ht="12" customHeight="1" x14ac:dyDescent="0.25">
      <c r="B15" s="13"/>
      <c r="C15" s="59" t="s">
        <v>28</v>
      </c>
      <c r="D15" s="94"/>
      <c r="E15" s="14"/>
      <c r="F15" s="14">
        <v>187623.04000000001</v>
      </c>
      <c r="G15" s="14">
        <v>42224</v>
      </c>
      <c r="H15" s="14">
        <f>94656+76003+45240</f>
        <v>215899</v>
      </c>
      <c r="I15" s="14"/>
      <c r="J15" s="17">
        <v>129595.2</v>
      </c>
      <c r="K15" s="107"/>
      <c r="L15" s="107"/>
      <c r="M15" s="72"/>
      <c r="N15" s="83">
        <v>5568</v>
      </c>
      <c r="O15" s="17"/>
      <c r="P15" s="18"/>
      <c r="Q15" s="18"/>
      <c r="R15" s="18"/>
      <c r="S15" s="18"/>
      <c r="T15" s="18"/>
      <c r="U15" s="18"/>
      <c r="V15" s="18"/>
      <c r="W15" s="116"/>
      <c r="X15" s="18"/>
      <c r="Y15" s="18"/>
      <c r="Z15" s="81">
        <f>SUM(D15:D15:Y15)</f>
        <v>580909.24</v>
      </c>
      <c r="AA15" s="16"/>
      <c r="AB15" s="131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</row>
    <row r="16" spans="1:60" ht="12" customHeight="1" x14ac:dyDescent="0.25">
      <c r="B16" s="13"/>
      <c r="C16" s="59" t="s">
        <v>29</v>
      </c>
      <c r="D16" s="94"/>
      <c r="E16" s="14"/>
      <c r="F16" s="14">
        <v>89900</v>
      </c>
      <c r="G16" s="14"/>
      <c r="H16" s="14">
        <v>26100</v>
      </c>
      <c r="I16" s="14">
        <v>35960</v>
      </c>
      <c r="J16" s="17"/>
      <c r="K16" s="107"/>
      <c r="L16" s="107"/>
      <c r="M16" s="72"/>
      <c r="N16" s="83"/>
      <c r="O16" s="17"/>
      <c r="P16" s="18"/>
      <c r="Q16" s="18"/>
      <c r="R16" s="18"/>
      <c r="S16" s="18"/>
      <c r="T16" s="18"/>
      <c r="U16" s="18"/>
      <c r="V16" s="18"/>
      <c r="W16" s="116"/>
      <c r="X16" s="18"/>
      <c r="Y16" s="18"/>
      <c r="Z16" s="81">
        <f>SUM(D16:D16:Y16)</f>
        <v>151960</v>
      </c>
      <c r="AA16" s="16"/>
      <c r="AB16" s="131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</row>
    <row r="17" spans="2:60" ht="12" customHeight="1" x14ac:dyDescent="0.25">
      <c r="B17" s="13"/>
      <c r="C17" s="57" t="s">
        <v>30</v>
      </c>
      <c r="D17" s="94"/>
      <c r="E17" s="14"/>
      <c r="F17" s="14">
        <v>12757.33</v>
      </c>
      <c r="G17" s="14">
        <f>12171+5301</f>
        <v>17472</v>
      </c>
      <c r="H17" s="14"/>
      <c r="I17" s="14"/>
      <c r="J17" s="17"/>
      <c r="K17" s="107"/>
      <c r="L17" s="107"/>
      <c r="M17" s="72"/>
      <c r="N17" s="83"/>
      <c r="O17" s="17"/>
      <c r="P17" s="18"/>
      <c r="Q17" s="18"/>
      <c r="R17" s="18"/>
      <c r="S17" s="18"/>
      <c r="T17" s="18"/>
      <c r="U17" s="18"/>
      <c r="V17" s="18"/>
      <c r="W17" s="116"/>
      <c r="X17" s="18"/>
      <c r="Y17" s="18"/>
      <c r="Z17" s="156">
        <f>SUM(D17:D17:Y17)</f>
        <v>30229.33</v>
      </c>
      <c r="AA17" s="16"/>
      <c r="AB17" s="131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</row>
    <row r="18" spans="2:60" ht="12" customHeight="1" x14ac:dyDescent="0.25">
      <c r="B18" s="13"/>
      <c r="C18" s="57" t="s">
        <v>31</v>
      </c>
      <c r="D18" s="94"/>
      <c r="E18" s="14"/>
      <c r="F18" s="14">
        <v>4872</v>
      </c>
      <c r="G18" s="14"/>
      <c r="H18" s="14">
        <v>8120</v>
      </c>
      <c r="I18" s="14"/>
      <c r="J18" s="17"/>
      <c r="K18" s="107"/>
      <c r="L18" s="107"/>
      <c r="M18" s="72"/>
      <c r="N18" s="83"/>
      <c r="O18" s="17"/>
      <c r="P18" s="18"/>
      <c r="Q18" s="18"/>
      <c r="R18" s="18"/>
      <c r="S18" s="18"/>
      <c r="T18" s="18"/>
      <c r="U18" s="18"/>
      <c r="V18" s="18"/>
      <c r="W18" s="116"/>
      <c r="X18" s="18"/>
      <c r="Y18" s="18"/>
      <c r="Z18" s="81">
        <f>SUM(D18:D18:Y18)</f>
        <v>12992</v>
      </c>
      <c r="AA18" s="16"/>
      <c r="AB18" s="131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</row>
    <row r="19" spans="2:60" ht="12" customHeight="1" x14ac:dyDescent="0.25">
      <c r="B19" s="13"/>
      <c r="C19" s="57" t="s">
        <v>32</v>
      </c>
      <c r="D19" s="94"/>
      <c r="E19" s="14"/>
      <c r="F19" s="14"/>
      <c r="G19" s="14">
        <v>26133</v>
      </c>
      <c r="H19" s="14"/>
      <c r="I19" s="14"/>
      <c r="J19" s="17"/>
      <c r="K19" s="107"/>
      <c r="L19" s="107"/>
      <c r="M19" s="72"/>
      <c r="N19" s="83"/>
      <c r="O19" s="17"/>
      <c r="P19" s="18"/>
      <c r="Q19" s="18"/>
      <c r="R19" s="18"/>
      <c r="S19" s="18"/>
      <c r="T19" s="18"/>
      <c r="U19" s="18"/>
      <c r="V19" s="18"/>
      <c r="W19" s="116"/>
      <c r="X19" s="18"/>
      <c r="Y19" s="18"/>
      <c r="Z19" s="81">
        <f>SUM(D19:D19:Y19)</f>
        <v>26133</v>
      </c>
      <c r="AA19" s="16"/>
      <c r="AB19" s="131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</row>
    <row r="20" spans="2:60" ht="12" customHeight="1" x14ac:dyDescent="0.25">
      <c r="B20" s="13"/>
      <c r="C20" s="59" t="s">
        <v>33</v>
      </c>
      <c r="D20" s="94"/>
      <c r="E20" s="14"/>
      <c r="F20" s="14"/>
      <c r="G20" s="14"/>
      <c r="H20" s="14">
        <v>116928</v>
      </c>
      <c r="I20" s="14"/>
      <c r="J20" s="17"/>
      <c r="K20" s="107"/>
      <c r="L20" s="107"/>
      <c r="M20" s="72"/>
      <c r="N20" s="83"/>
      <c r="O20" s="17"/>
      <c r="P20" s="18"/>
      <c r="Q20" s="18"/>
      <c r="R20" s="18"/>
      <c r="S20" s="18"/>
      <c r="T20" s="18"/>
      <c r="U20" s="18"/>
      <c r="V20" s="18"/>
      <c r="W20" s="116"/>
      <c r="X20" s="18"/>
      <c r="Y20" s="18"/>
      <c r="Z20" s="81">
        <f>SUM(D20:D20:Y20)</f>
        <v>116928</v>
      </c>
      <c r="AA20" s="16"/>
      <c r="AB20" s="131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</row>
    <row r="21" spans="2:60" ht="12" customHeight="1" x14ac:dyDescent="0.25">
      <c r="B21" s="21" t="s">
        <v>34</v>
      </c>
      <c r="C21" s="60"/>
      <c r="D21" s="95"/>
      <c r="E21" s="22"/>
      <c r="F21" s="22"/>
      <c r="G21" s="22"/>
      <c r="H21" s="22"/>
      <c r="I21" s="22"/>
      <c r="J21" s="23"/>
      <c r="K21" s="108"/>
      <c r="L21" s="108"/>
      <c r="M21" s="73"/>
      <c r="N21" s="85"/>
      <c r="O21" s="23"/>
      <c r="P21" s="23"/>
      <c r="Q21" s="23"/>
      <c r="R21" s="23"/>
      <c r="S21" s="23"/>
      <c r="T21" s="23"/>
      <c r="U21" s="23"/>
      <c r="V21" s="23"/>
      <c r="W21" s="118"/>
      <c r="X21" s="23"/>
      <c r="Y21" s="23"/>
      <c r="Z21" s="68"/>
      <c r="AA21" s="24">
        <f>SUM(Z22:Z45)</f>
        <v>4824295.8400000008</v>
      </c>
      <c r="AB21" s="132">
        <f>+AA21/AA76</f>
        <v>5.003393106807872E-2</v>
      </c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</row>
    <row r="22" spans="2:60" ht="12" customHeight="1" x14ac:dyDescent="0.25">
      <c r="B22" s="13"/>
      <c r="C22" s="59" t="s">
        <v>35</v>
      </c>
      <c r="D22" s="94">
        <v>155905</v>
      </c>
      <c r="E22" s="14">
        <v>314998</v>
      </c>
      <c r="F22" s="74"/>
      <c r="G22" s="14"/>
      <c r="H22" s="15">
        <f>1740</f>
        <v>1740</v>
      </c>
      <c r="I22" s="14">
        <v>162400</v>
      </c>
      <c r="J22" s="17"/>
      <c r="K22" s="107">
        <v>84448</v>
      </c>
      <c r="L22" s="107">
        <f>3006+1732.21+495</f>
        <v>5233.21</v>
      </c>
      <c r="M22" s="72">
        <v>618.69000000000005</v>
      </c>
      <c r="N22" s="83">
        <v>1484.85</v>
      </c>
      <c r="O22" s="17">
        <v>12703.71</v>
      </c>
      <c r="P22" s="18"/>
      <c r="Q22" s="18">
        <v>3998.87</v>
      </c>
      <c r="R22" s="15">
        <v>1484.84</v>
      </c>
      <c r="S22" s="18"/>
      <c r="T22" s="15">
        <v>1484.84</v>
      </c>
      <c r="U22" s="18">
        <f>742.42+3998.87+1856.06</f>
        <v>6597.35</v>
      </c>
      <c r="V22" s="18">
        <v>247.47</v>
      </c>
      <c r="W22" s="116">
        <v>9378.48</v>
      </c>
      <c r="X22" s="18"/>
      <c r="Y22" s="18"/>
      <c r="Z22" s="156">
        <f>SUM(D22:D22:Y22)</f>
        <v>762723.30999999971</v>
      </c>
      <c r="AA22" s="16"/>
      <c r="AB22" s="131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</row>
    <row r="23" spans="2:60" ht="12" customHeight="1" x14ac:dyDescent="0.25">
      <c r="B23" s="13"/>
      <c r="C23" s="57" t="s">
        <v>36</v>
      </c>
      <c r="D23" s="94"/>
      <c r="E23" s="14">
        <v>207002</v>
      </c>
      <c r="F23" s="14">
        <v>101616</v>
      </c>
      <c r="G23" s="14">
        <v>90480</v>
      </c>
      <c r="H23" s="14">
        <f>37967.96+44254</f>
        <v>82221.959999999992</v>
      </c>
      <c r="I23" s="14">
        <f>142970+91350</f>
        <v>234320</v>
      </c>
      <c r="J23" s="17">
        <v>19256</v>
      </c>
      <c r="K23" s="107"/>
      <c r="L23" s="107"/>
      <c r="M23" s="72"/>
      <c r="N23" s="83"/>
      <c r="O23" s="17">
        <v>7830</v>
      </c>
      <c r="P23" s="18">
        <f>3619.2+417.6</f>
        <v>4036.7999999999997</v>
      </c>
      <c r="Q23" s="18"/>
      <c r="R23" s="18"/>
      <c r="S23" s="18"/>
      <c r="T23" s="18"/>
      <c r="U23" s="18"/>
      <c r="V23" s="18"/>
      <c r="W23" s="116"/>
      <c r="X23" s="18"/>
      <c r="Y23" s="18"/>
      <c r="Z23" s="156">
        <f>SUM(D23:D23:Y23)</f>
        <v>746762.76</v>
      </c>
      <c r="AA23" s="16"/>
      <c r="AB23" s="131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</row>
    <row r="24" spans="2:60" ht="12" customHeight="1" x14ac:dyDescent="0.25">
      <c r="B24" s="13"/>
      <c r="C24" s="61" t="s">
        <v>37</v>
      </c>
      <c r="D24" s="94"/>
      <c r="E24" s="14">
        <v>81200</v>
      </c>
      <c r="F24" s="14"/>
      <c r="G24" s="14"/>
      <c r="H24" s="14"/>
      <c r="I24" s="14">
        <v>17400</v>
      </c>
      <c r="J24" s="17"/>
      <c r="K24" s="107">
        <v>14500</v>
      </c>
      <c r="L24" s="107"/>
      <c r="M24" s="72"/>
      <c r="N24" s="83"/>
      <c r="O24" s="17"/>
      <c r="P24" s="18"/>
      <c r="Q24" s="18"/>
      <c r="R24" s="18"/>
      <c r="S24" s="18"/>
      <c r="T24" s="18"/>
      <c r="U24" s="18"/>
      <c r="V24" s="18"/>
      <c r="W24" s="116"/>
      <c r="X24" s="18"/>
      <c r="Y24" s="18"/>
      <c r="Z24" s="81">
        <f>SUM(D24:D24:X24)</f>
        <v>113100</v>
      </c>
      <c r="AA24" s="16"/>
      <c r="AB24" s="131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</row>
    <row r="25" spans="2:60" ht="12" customHeight="1" x14ac:dyDescent="0.25">
      <c r="B25" s="13"/>
      <c r="C25" s="57" t="s">
        <v>38</v>
      </c>
      <c r="D25" s="94"/>
      <c r="E25" s="14">
        <v>51035.360000000001</v>
      </c>
      <c r="F25" s="14"/>
      <c r="G25" s="14">
        <v>434826</v>
      </c>
      <c r="H25" s="14"/>
      <c r="I25" s="14">
        <v>4814</v>
      </c>
      <c r="J25" s="17"/>
      <c r="K25" s="107">
        <v>238960</v>
      </c>
      <c r="L25" s="107"/>
      <c r="M25" s="72"/>
      <c r="N25" s="83">
        <v>7632.8</v>
      </c>
      <c r="O25" s="17">
        <v>3477.68</v>
      </c>
      <c r="P25" s="18">
        <f>5568+5498.4+1832.8+3207.4</f>
        <v>16106.599999999999</v>
      </c>
      <c r="Q25" s="18"/>
      <c r="R25" s="18"/>
      <c r="S25" s="18">
        <v>15274.88</v>
      </c>
      <c r="T25" s="18"/>
      <c r="U25" s="18"/>
      <c r="V25" s="18"/>
      <c r="W25" s="116">
        <v>2774.72</v>
      </c>
      <c r="X25" s="18"/>
      <c r="Y25" s="18"/>
      <c r="Z25" s="156">
        <f>SUM(D25:D25:Y25)</f>
        <v>774902.04</v>
      </c>
      <c r="AA25" s="16"/>
      <c r="AB25" s="131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</row>
    <row r="26" spans="2:60" ht="12" customHeight="1" x14ac:dyDescent="0.25">
      <c r="B26" s="13"/>
      <c r="C26" s="62" t="s">
        <v>39</v>
      </c>
      <c r="D26" s="94"/>
      <c r="E26" s="14"/>
      <c r="F26" s="14">
        <v>574200</v>
      </c>
      <c r="G26" s="25"/>
      <c r="H26" s="25">
        <f>32480</f>
        <v>32480</v>
      </c>
      <c r="I26" s="25">
        <v>60656.4</v>
      </c>
      <c r="J26" s="26">
        <f>770240+20880</f>
        <v>791120</v>
      </c>
      <c r="K26" s="109">
        <f>87000+4825.6</f>
        <v>91825.600000000006</v>
      </c>
      <c r="L26" s="109">
        <v>31204</v>
      </c>
      <c r="M26" s="75">
        <v>8008.64</v>
      </c>
      <c r="N26" s="86"/>
      <c r="O26" s="17">
        <f>2078.72+106237.44-6496</f>
        <v>101820.16</v>
      </c>
      <c r="P26" s="18"/>
      <c r="Q26" s="18"/>
      <c r="R26" s="18"/>
      <c r="S26" s="18"/>
      <c r="T26" s="18"/>
      <c r="U26" s="18"/>
      <c r="V26" s="18"/>
      <c r="W26" s="116"/>
      <c r="X26" s="18"/>
      <c r="Y26" s="18"/>
      <c r="Z26" s="157">
        <f>SUM(D26:D26:Y26)</f>
        <v>1691314.7999999998</v>
      </c>
      <c r="AA26" s="16"/>
      <c r="AB26" s="131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</row>
    <row r="27" spans="2:60" ht="12" customHeight="1" x14ac:dyDescent="0.25">
      <c r="B27" s="13"/>
      <c r="C27" s="62" t="s">
        <v>40</v>
      </c>
      <c r="D27" s="94"/>
      <c r="E27" s="14"/>
      <c r="F27" s="14"/>
      <c r="G27" s="25"/>
      <c r="H27" s="25"/>
      <c r="I27" s="25"/>
      <c r="J27" s="26"/>
      <c r="K27" s="109"/>
      <c r="L27" s="109"/>
      <c r="M27" s="75"/>
      <c r="N27" s="86"/>
      <c r="O27" s="27">
        <v>4164.3999999999996</v>
      </c>
      <c r="P27" s="28"/>
      <c r="Q27" s="28"/>
      <c r="R27" s="28"/>
      <c r="S27" s="28"/>
      <c r="T27" s="28"/>
      <c r="U27" s="28"/>
      <c r="V27" s="28"/>
      <c r="W27" s="119"/>
      <c r="X27" s="28"/>
      <c r="Y27" s="28"/>
      <c r="Z27" s="81">
        <f>SUM(D27:D27:X27)</f>
        <v>4164.3999999999996</v>
      </c>
      <c r="AA27" s="16"/>
      <c r="AB27" s="131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</row>
    <row r="28" spans="2:60" ht="12" customHeight="1" x14ac:dyDescent="0.25">
      <c r="B28" s="13"/>
      <c r="C28" s="57" t="s">
        <v>41</v>
      </c>
      <c r="D28" s="94"/>
      <c r="E28" s="14">
        <v>13206.6</v>
      </c>
      <c r="F28" s="14"/>
      <c r="G28" s="14"/>
      <c r="H28" s="14"/>
      <c r="I28" s="14"/>
      <c r="J28" s="17"/>
      <c r="K28" s="107"/>
      <c r="L28" s="107"/>
      <c r="M28" s="72"/>
      <c r="N28" s="83"/>
      <c r="O28" s="17"/>
      <c r="P28" s="17"/>
      <c r="Q28" s="17"/>
      <c r="R28" s="17"/>
      <c r="S28" s="18"/>
      <c r="T28" s="18"/>
      <c r="U28" s="18"/>
      <c r="V28" s="18"/>
      <c r="W28" s="116"/>
      <c r="X28" s="18"/>
      <c r="Y28" s="18"/>
      <c r="Z28" s="157">
        <f>SUM(D28:D28:Y28)</f>
        <v>13206.6</v>
      </c>
      <c r="AA28" s="16"/>
      <c r="AB28" s="131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</row>
    <row r="29" spans="2:60" ht="12" customHeight="1" x14ac:dyDescent="0.25">
      <c r="B29" s="13"/>
      <c r="C29" s="59" t="s">
        <v>42</v>
      </c>
      <c r="D29" s="94"/>
      <c r="E29" s="14"/>
      <c r="F29" s="14"/>
      <c r="G29" s="14"/>
      <c r="H29" s="14">
        <v>23316</v>
      </c>
      <c r="I29" s="14"/>
      <c r="J29" s="17"/>
      <c r="K29" s="107"/>
      <c r="L29" s="107"/>
      <c r="M29" s="72"/>
      <c r="N29" s="83"/>
      <c r="O29" s="17"/>
      <c r="P29" s="17"/>
      <c r="Q29" s="17"/>
      <c r="R29" s="17"/>
      <c r="S29" s="18"/>
      <c r="T29" s="18"/>
      <c r="U29" s="18"/>
      <c r="V29" s="18"/>
      <c r="W29" s="116"/>
      <c r="X29" s="18"/>
      <c r="Y29" s="18"/>
      <c r="Z29" s="81">
        <f>SUM(D29:D29:Y29)</f>
        <v>23316</v>
      </c>
      <c r="AA29" s="16"/>
      <c r="AB29" s="131"/>
      <c r="AC29" s="123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</row>
    <row r="30" spans="2:60" ht="12" customHeight="1" x14ac:dyDescent="0.25">
      <c r="B30" s="13"/>
      <c r="C30" s="59" t="s">
        <v>43</v>
      </c>
      <c r="D30" s="94"/>
      <c r="E30" s="14"/>
      <c r="F30" s="14"/>
      <c r="G30" s="14"/>
      <c r="H30" s="14">
        <v>11484</v>
      </c>
      <c r="I30" s="14"/>
      <c r="J30" s="17"/>
      <c r="K30" s="107"/>
      <c r="L30" s="107"/>
      <c r="M30" s="72"/>
      <c r="N30" s="83"/>
      <c r="O30" s="17"/>
      <c r="P30" s="17"/>
      <c r="Q30" s="17"/>
      <c r="R30" s="17"/>
      <c r="S30" s="18"/>
      <c r="T30" s="18"/>
      <c r="U30" s="18"/>
      <c r="V30" s="18"/>
      <c r="W30" s="116"/>
      <c r="X30" s="18"/>
      <c r="Y30" s="18"/>
      <c r="Z30" s="81">
        <f>SUM(D30:D30:Y30)</f>
        <v>11484</v>
      </c>
      <c r="AA30" s="16"/>
      <c r="AB30" s="131"/>
      <c r="AC30" s="123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</row>
    <row r="31" spans="2:60" ht="12" customHeight="1" x14ac:dyDescent="0.25">
      <c r="B31" s="13"/>
      <c r="C31" s="59" t="s">
        <v>44</v>
      </c>
      <c r="D31" s="94"/>
      <c r="E31" s="14"/>
      <c r="F31" s="14">
        <v>30740</v>
      </c>
      <c r="G31" s="14"/>
      <c r="H31" s="14">
        <f>1740+4060</f>
        <v>5800</v>
      </c>
      <c r="I31" s="14">
        <v>18780.400000000001</v>
      </c>
      <c r="J31" s="17">
        <v>6496</v>
      </c>
      <c r="K31" s="107">
        <v>12644</v>
      </c>
      <c r="L31" s="107"/>
      <c r="M31" s="72"/>
      <c r="N31" s="83">
        <v>24766</v>
      </c>
      <c r="O31" s="17"/>
      <c r="P31" s="17"/>
      <c r="Q31" s="17"/>
      <c r="R31" s="17"/>
      <c r="S31" s="18"/>
      <c r="T31" s="18"/>
      <c r="U31" s="18"/>
      <c r="V31" s="18"/>
      <c r="W31" s="116">
        <v>6264</v>
      </c>
      <c r="X31" s="18"/>
      <c r="Y31" s="18"/>
      <c r="Z31" s="157">
        <f>SUM(D31:D31:Y31)</f>
        <v>105490.4</v>
      </c>
      <c r="AA31" s="16"/>
      <c r="AB31" s="131"/>
      <c r="AC31" s="39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</row>
    <row r="32" spans="2:60" ht="12" customHeight="1" x14ac:dyDescent="0.25">
      <c r="B32" s="13"/>
      <c r="C32" s="63" t="s">
        <v>45</v>
      </c>
      <c r="D32" s="96"/>
      <c r="E32" s="14"/>
      <c r="F32" s="14"/>
      <c r="G32" s="14"/>
      <c r="H32" s="14">
        <v>678</v>
      </c>
      <c r="I32" s="14"/>
      <c r="J32" s="17">
        <v>680.49</v>
      </c>
      <c r="K32" s="107"/>
      <c r="L32" s="107"/>
      <c r="M32" s="72"/>
      <c r="N32" s="83"/>
      <c r="O32" s="17">
        <v>1175.3900000000001</v>
      </c>
      <c r="P32" s="17"/>
      <c r="Q32" s="17">
        <v>980.2</v>
      </c>
      <c r="R32" s="17"/>
      <c r="S32" s="18"/>
      <c r="T32" s="18"/>
      <c r="U32" s="18"/>
      <c r="V32" s="18"/>
      <c r="W32" s="116"/>
      <c r="X32" s="18"/>
      <c r="Y32" s="18"/>
      <c r="Z32" s="81">
        <f>SUM(D32:D32:Y32)</f>
        <v>3514.08</v>
      </c>
      <c r="AA32" s="16"/>
      <c r="AB32" s="131"/>
      <c r="AC32" s="39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</row>
    <row r="33" spans="2:60" ht="12" customHeight="1" x14ac:dyDescent="0.25">
      <c r="B33" s="13"/>
      <c r="C33" s="57" t="s">
        <v>46</v>
      </c>
      <c r="D33" s="94"/>
      <c r="E33" s="14"/>
      <c r="F33" s="14"/>
      <c r="G33" s="14">
        <v>81200</v>
      </c>
      <c r="H33" s="14">
        <v>81200</v>
      </c>
      <c r="I33" s="14">
        <v>7841</v>
      </c>
      <c r="J33" s="17"/>
      <c r="K33" s="107"/>
      <c r="L33" s="107"/>
      <c r="M33" s="72"/>
      <c r="N33" s="83"/>
      <c r="O33" s="17">
        <v>6496</v>
      </c>
      <c r="P33" s="17">
        <f>4350+3480+6090</f>
        <v>13920</v>
      </c>
      <c r="Q33" s="17">
        <v>20880</v>
      </c>
      <c r="R33" s="17"/>
      <c r="S33" s="18"/>
      <c r="T33" s="18"/>
      <c r="U33" s="18"/>
      <c r="V33" s="18"/>
      <c r="W33" s="116"/>
      <c r="X33" s="18"/>
      <c r="Y33" s="18"/>
      <c r="Z33" s="81">
        <f>SUM(D33:D33:Y33)</f>
        <v>211537</v>
      </c>
      <c r="AA33" s="16"/>
      <c r="AB33" s="131"/>
      <c r="AC33" s="39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</row>
    <row r="34" spans="2:60" ht="12" customHeight="1" x14ac:dyDescent="0.25">
      <c r="B34" s="13"/>
      <c r="C34" s="57" t="s">
        <v>47</v>
      </c>
      <c r="D34" s="94"/>
      <c r="E34" s="14"/>
      <c r="F34" s="14"/>
      <c r="G34" s="14"/>
      <c r="H34" s="14"/>
      <c r="I34" s="14"/>
      <c r="J34" s="17"/>
      <c r="K34" s="107">
        <v>197194</v>
      </c>
      <c r="L34" s="107"/>
      <c r="M34" s="72"/>
      <c r="N34" s="83"/>
      <c r="O34" s="17"/>
      <c r="P34" s="17"/>
      <c r="Q34" s="17"/>
      <c r="R34" s="17"/>
      <c r="S34" s="18"/>
      <c r="T34" s="18"/>
      <c r="U34" s="18"/>
      <c r="V34" s="18"/>
      <c r="W34" s="116"/>
      <c r="X34" s="18"/>
      <c r="Y34" s="18"/>
      <c r="Z34" s="81">
        <f>SUM(D34:D34:Y34)</f>
        <v>197194</v>
      </c>
      <c r="AA34" s="16"/>
      <c r="AB34" s="131"/>
      <c r="AC34" s="39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</row>
    <row r="35" spans="2:60" ht="12" customHeight="1" x14ac:dyDescent="0.25">
      <c r="B35" s="13"/>
      <c r="C35" s="59" t="s">
        <v>48</v>
      </c>
      <c r="D35" s="94"/>
      <c r="E35" s="14"/>
      <c r="F35" s="14"/>
      <c r="G35" s="14"/>
      <c r="H35" s="14">
        <v>21390.400000000001</v>
      </c>
      <c r="I35" s="14"/>
      <c r="J35" s="17"/>
      <c r="K35" s="107"/>
      <c r="L35" s="107"/>
      <c r="M35" s="72"/>
      <c r="N35" s="83"/>
      <c r="O35" s="17"/>
      <c r="P35" s="17"/>
      <c r="Q35" s="17"/>
      <c r="R35" s="17"/>
      <c r="S35" s="18"/>
      <c r="T35" s="18"/>
      <c r="U35" s="18"/>
      <c r="V35" s="18"/>
      <c r="W35" s="116"/>
      <c r="X35" s="18"/>
      <c r="Y35" s="18"/>
      <c r="Z35" s="157">
        <f>SUM(D35:D35:Y35)</f>
        <v>21390.400000000001</v>
      </c>
      <c r="AA35" s="16"/>
      <c r="AB35" s="131"/>
      <c r="AC35" s="39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</row>
    <row r="36" spans="2:60" ht="12" customHeight="1" x14ac:dyDescent="0.25">
      <c r="B36" s="13"/>
      <c r="C36" s="64" t="s">
        <v>49</v>
      </c>
      <c r="D36" s="97"/>
      <c r="E36" s="29"/>
      <c r="F36" s="14"/>
      <c r="G36" s="14"/>
      <c r="H36" s="14"/>
      <c r="I36" s="14"/>
      <c r="J36" s="17"/>
      <c r="K36" s="107"/>
      <c r="L36" s="107"/>
      <c r="M36" s="72"/>
      <c r="N36" s="83"/>
      <c r="O36" s="17"/>
      <c r="P36" s="30">
        <v>9082.7999999999993</v>
      </c>
      <c r="Q36" s="30">
        <v>10996</v>
      </c>
      <c r="R36" s="30">
        <v>6171.2</v>
      </c>
      <c r="S36" s="31"/>
      <c r="T36" s="31"/>
      <c r="U36" s="74"/>
      <c r="V36" s="31">
        <f>5568+5568</f>
        <v>11136</v>
      </c>
      <c r="W36" s="120"/>
      <c r="X36" s="31"/>
      <c r="Y36" s="31"/>
      <c r="Z36" s="81">
        <f>SUM(D36:D36:Y36)</f>
        <v>37386</v>
      </c>
      <c r="AA36" s="16"/>
      <c r="AB36" s="131"/>
      <c r="AC36" s="39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</row>
    <row r="37" spans="2:60" ht="12" customHeight="1" x14ac:dyDescent="0.25">
      <c r="B37" s="13"/>
      <c r="C37" s="64" t="s">
        <v>87</v>
      </c>
      <c r="D37" s="97"/>
      <c r="E37" s="29"/>
      <c r="F37" s="14"/>
      <c r="G37" s="14"/>
      <c r="H37" s="14"/>
      <c r="I37" s="14"/>
      <c r="J37" s="17"/>
      <c r="K37" s="107"/>
      <c r="L37" s="107"/>
      <c r="M37" s="72"/>
      <c r="N37" s="83"/>
      <c r="O37" s="17"/>
      <c r="P37" s="30">
        <f>11205.6+1020.8+933.8+13073.2</f>
        <v>26233.4</v>
      </c>
      <c r="Q37" s="30">
        <v>14291</v>
      </c>
      <c r="R37" s="31">
        <v>8168</v>
      </c>
      <c r="S37" s="31">
        <v>3828</v>
      </c>
      <c r="T37" s="31"/>
      <c r="U37" s="31">
        <v>3062.4</v>
      </c>
      <c r="V37" s="55">
        <v>5522.99</v>
      </c>
      <c r="W37" s="120">
        <v>13548.8</v>
      </c>
      <c r="X37" s="31">
        <v>1020.8</v>
      </c>
      <c r="Y37" s="31"/>
      <c r="Z37" s="81">
        <f>SUM(D37:D37:Y37)</f>
        <v>75675.39</v>
      </c>
      <c r="AA37" s="16"/>
      <c r="AB37" s="131"/>
      <c r="AC37" s="39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</row>
    <row r="38" spans="2:60" ht="12" customHeight="1" x14ac:dyDescent="0.25">
      <c r="B38" s="13"/>
      <c r="C38" s="65" t="s">
        <v>50</v>
      </c>
      <c r="D38" s="98"/>
      <c r="E38" s="32"/>
      <c r="F38" s="14"/>
      <c r="G38" s="14"/>
      <c r="H38" s="14"/>
      <c r="I38" s="14"/>
      <c r="J38" s="17"/>
      <c r="K38" s="107"/>
      <c r="L38" s="107"/>
      <c r="M38" s="72"/>
      <c r="N38" s="83"/>
      <c r="O38" s="17"/>
      <c r="P38" s="30">
        <v>10231.200000000001</v>
      </c>
      <c r="Q38" s="30"/>
      <c r="R38" s="30"/>
      <c r="S38" s="31"/>
      <c r="T38" s="31"/>
      <c r="U38" s="31"/>
      <c r="V38" s="31"/>
      <c r="W38" s="120"/>
      <c r="X38" s="31"/>
      <c r="Y38" s="31"/>
      <c r="Z38" s="81">
        <f>SUM(D38:D38:Y38)</f>
        <v>10231.200000000001</v>
      </c>
      <c r="AA38" s="16"/>
      <c r="AB38" s="131"/>
      <c r="AC38" s="39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</row>
    <row r="39" spans="2:60" ht="12" customHeight="1" x14ac:dyDescent="0.25">
      <c r="B39" s="13"/>
      <c r="C39" s="65" t="s">
        <v>51</v>
      </c>
      <c r="D39" s="98"/>
      <c r="E39" s="32"/>
      <c r="F39" s="14"/>
      <c r="G39" s="14"/>
      <c r="H39" s="14"/>
      <c r="I39" s="14"/>
      <c r="J39" s="17"/>
      <c r="K39" s="107"/>
      <c r="L39" s="107"/>
      <c r="M39" s="72"/>
      <c r="N39" s="83"/>
      <c r="O39" s="17"/>
      <c r="P39" s="30">
        <f>2816.48+1693.6</f>
        <v>4510.08</v>
      </c>
      <c r="Q39" s="30"/>
      <c r="R39" s="30"/>
      <c r="S39" s="31"/>
      <c r="T39" s="31"/>
      <c r="U39" s="31"/>
      <c r="V39" s="31"/>
      <c r="W39" s="120"/>
      <c r="X39" s="31"/>
      <c r="Y39" s="31"/>
      <c r="Z39" s="81">
        <f>SUM(D39:D39:Y39)</f>
        <v>4510.08</v>
      </c>
      <c r="AA39" s="16"/>
      <c r="AB39" s="131"/>
      <c r="AC39" s="39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</row>
    <row r="40" spans="2:60" ht="12" customHeight="1" x14ac:dyDescent="0.25">
      <c r="B40" s="13"/>
      <c r="C40" s="65" t="s">
        <v>52</v>
      </c>
      <c r="D40" s="98"/>
      <c r="E40" s="32"/>
      <c r="F40" s="14"/>
      <c r="G40" s="14"/>
      <c r="H40" s="14"/>
      <c r="I40" s="14"/>
      <c r="J40" s="17"/>
      <c r="K40" s="107"/>
      <c r="L40" s="107"/>
      <c r="M40" s="72"/>
      <c r="N40" s="83"/>
      <c r="O40" s="17"/>
      <c r="P40" s="30">
        <v>2198.1999999999998</v>
      </c>
      <c r="Q40" s="30"/>
      <c r="R40" s="30"/>
      <c r="S40" s="31"/>
      <c r="T40" s="31"/>
      <c r="U40" s="31"/>
      <c r="V40" s="31"/>
      <c r="W40" s="120"/>
      <c r="X40" s="31"/>
      <c r="Y40" s="31"/>
      <c r="Z40" s="81">
        <f>SUM(D40:D40:Y40)</f>
        <v>2198.1999999999998</v>
      </c>
      <c r="AA40" s="16"/>
      <c r="AB40" s="131"/>
      <c r="AC40" s="39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</row>
    <row r="41" spans="2:60" ht="12" customHeight="1" x14ac:dyDescent="0.25">
      <c r="B41" s="13"/>
      <c r="C41" s="65" t="s">
        <v>53</v>
      </c>
      <c r="D41" s="98"/>
      <c r="E41" s="32"/>
      <c r="F41" s="14"/>
      <c r="G41" s="14"/>
      <c r="H41" s="14"/>
      <c r="I41" s="14"/>
      <c r="J41" s="17"/>
      <c r="K41" s="107"/>
      <c r="L41" s="107"/>
      <c r="M41" s="72"/>
      <c r="N41" s="83"/>
      <c r="O41" s="17"/>
      <c r="P41" s="30">
        <v>1607.78</v>
      </c>
      <c r="Q41" s="30"/>
      <c r="R41" s="30"/>
      <c r="S41" s="31"/>
      <c r="T41" s="31"/>
      <c r="U41" s="31"/>
      <c r="V41" s="31"/>
      <c r="W41" s="120"/>
      <c r="X41" s="31"/>
      <c r="Y41" s="31"/>
      <c r="Z41" s="81">
        <f>SUM(D41:D41:Y41)</f>
        <v>1607.78</v>
      </c>
      <c r="AA41" s="16"/>
      <c r="AB41" s="131"/>
      <c r="AC41" s="39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</row>
    <row r="42" spans="2:60" ht="12" customHeight="1" x14ac:dyDescent="0.25">
      <c r="B42" s="13"/>
      <c r="C42" s="65" t="s">
        <v>54</v>
      </c>
      <c r="D42" s="98"/>
      <c r="E42" s="32"/>
      <c r="F42" s="14"/>
      <c r="G42" s="14"/>
      <c r="H42" s="14"/>
      <c r="I42" s="14"/>
      <c r="J42" s="17"/>
      <c r="K42" s="107"/>
      <c r="L42" s="107"/>
      <c r="M42" s="72"/>
      <c r="N42" s="83"/>
      <c r="O42" s="17"/>
      <c r="P42" s="30">
        <f>2481.48+5180.56</f>
        <v>7662.0400000000009</v>
      </c>
      <c r="Q42" s="30"/>
      <c r="R42" s="30"/>
      <c r="S42" s="31"/>
      <c r="T42" s="31"/>
      <c r="U42" s="31"/>
      <c r="V42" s="31"/>
      <c r="W42" s="120"/>
      <c r="X42" s="31"/>
      <c r="Y42" s="31"/>
      <c r="Z42" s="81">
        <f>SUM(D42:D42:Y42)</f>
        <v>7662.0400000000009</v>
      </c>
      <c r="AA42" s="16"/>
      <c r="AB42" s="131"/>
      <c r="AC42" s="39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</row>
    <row r="43" spans="2:60" ht="12" customHeight="1" x14ac:dyDescent="0.25">
      <c r="B43" s="13"/>
      <c r="C43" s="65" t="s">
        <v>55</v>
      </c>
      <c r="D43" s="98"/>
      <c r="E43" s="32"/>
      <c r="F43" s="14"/>
      <c r="G43" s="14"/>
      <c r="H43" s="14"/>
      <c r="I43" s="14"/>
      <c r="J43" s="17"/>
      <c r="K43" s="107"/>
      <c r="L43" s="107"/>
      <c r="M43" s="72"/>
      <c r="N43" s="83"/>
      <c r="O43" s="17"/>
      <c r="P43" s="30">
        <v>348</v>
      </c>
      <c r="Q43" s="30"/>
      <c r="R43" s="30"/>
      <c r="S43" s="31"/>
      <c r="T43" s="31"/>
      <c r="U43" s="31"/>
      <c r="V43" s="31"/>
      <c r="W43" s="120"/>
      <c r="X43" s="31"/>
      <c r="Y43" s="31"/>
      <c r="Z43" s="81">
        <f>SUM(D43:D43:Y43)</f>
        <v>348</v>
      </c>
      <c r="AA43" s="16"/>
      <c r="AB43" s="131"/>
      <c r="AC43" s="39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</row>
    <row r="44" spans="2:60" ht="12" customHeight="1" x14ac:dyDescent="0.25">
      <c r="B44" s="13"/>
      <c r="C44" s="65" t="s">
        <v>56</v>
      </c>
      <c r="D44" s="98"/>
      <c r="E44" s="32"/>
      <c r="F44" s="14"/>
      <c r="G44" s="14"/>
      <c r="H44" s="14"/>
      <c r="I44" s="14"/>
      <c r="J44" s="17"/>
      <c r="K44" s="107"/>
      <c r="L44" s="107"/>
      <c r="M44" s="72"/>
      <c r="N44" s="83"/>
      <c r="O44" s="17"/>
      <c r="P44" s="30"/>
      <c r="Q44" s="30"/>
      <c r="R44" s="30"/>
      <c r="S44" s="31">
        <v>3828</v>
      </c>
      <c r="T44" s="31"/>
      <c r="U44" s="31"/>
      <c r="V44" s="31"/>
      <c r="W44" s="120"/>
      <c r="X44" s="31"/>
      <c r="Y44" s="31"/>
      <c r="Z44" s="81">
        <f>SUM(D44:D44:Y44)</f>
        <v>3828</v>
      </c>
      <c r="AA44" s="16"/>
      <c r="AB44" s="131"/>
      <c r="AC44" s="39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</row>
    <row r="45" spans="2:60" ht="12" customHeight="1" x14ac:dyDescent="0.25">
      <c r="B45" s="13"/>
      <c r="C45" s="65" t="s">
        <v>57</v>
      </c>
      <c r="D45" s="98"/>
      <c r="E45" s="32"/>
      <c r="F45" s="14"/>
      <c r="G45" s="14"/>
      <c r="H45" s="14"/>
      <c r="I45" s="14"/>
      <c r="J45" s="17"/>
      <c r="K45" s="107"/>
      <c r="L45" s="107"/>
      <c r="M45" s="72"/>
      <c r="N45" s="83"/>
      <c r="O45" s="17"/>
      <c r="P45" s="30">
        <f>375.84+373.52</f>
        <v>749.3599999999999</v>
      </c>
      <c r="Q45" s="30"/>
      <c r="R45" s="30"/>
      <c r="S45" s="31"/>
      <c r="T45" s="31"/>
      <c r="U45" s="31"/>
      <c r="V45" s="31"/>
      <c r="W45" s="120"/>
      <c r="X45" s="31"/>
      <c r="Y45" s="31"/>
      <c r="Z45" s="81">
        <f>SUM(D45:D45:Y45)</f>
        <v>749.3599999999999</v>
      </c>
      <c r="AA45" s="16"/>
      <c r="AB45" s="131"/>
      <c r="AC45" s="39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</row>
    <row r="46" spans="2:60" ht="12" customHeight="1" x14ac:dyDescent="0.25">
      <c r="B46" s="33" t="s">
        <v>58</v>
      </c>
      <c r="C46" s="66"/>
      <c r="D46" s="99"/>
      <c r="E46" s="34"/>
      <c r="F46" s="34"/>
      <c r="G46" s="34"/>
      <c r="H46" s="34"/>
      <c r="I46" s="34"/>
      <c r="J46" s="35"/>
      <c r="K46" s="110"/>
      <c r="L46" s="110"/>
      <c r="M46" s="76"/>
      <c r="N46" s="87"/>
      <c r="O46" s="36"/>
      <c r="P46" s="36"/>
      <c r="Q46" s="36"/>
      <c r="R46" s="36"/>
      <c r="S46" s="36"/>
      <c r="T46" s="36"/>
      <c r="U46" s="36"/>
      <c r="V46" s="36"/>
      <c r="W46" s="114"/>
      <c r="X46" s="35"/>
      <c r="Y46" s="35"/>
      <c r="Z46" s="36"/>
      <c r="AA46" s="37">
        <f>SUM(Z47:Z49)</f>
        <v>4723054.68</v>
      </c>
      <c r="AB46" s="133">
        <f>+AA46/AA76</f>
        <v>4.8983934677166593E-2</v>
      </c>
      <c r="AC46" s="39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</row>
    <row r="47" spans="2:60" ht="12" customHeight="1" x14ac:dyDescent="0.2">
      <c r="B47" s="13"/>
      <c r="C47" s="57" t="s">
        <v>59</v>
      </c>
      <c r="D47" s="94"/>
      <c r="E47" s="14">
        <v>278400</v>
      </c>
      <c r="F47" s="14">
        <f>1007170+111360</f>
        <v>1118530</v>
      </c>
      <c r="G47" s="14">
        <f>783000+441960</f>
        <v>1224960</v>
      </c>
      <c r="H47" s="14">
        <f>60900+2900</f>
        <v>63800</v>
      </c>
      <c r="I47" s="14">
        <v>101778</v>
      </c>
      <c r="J47" s="17">
        <v>518520</v>
      </c>
      <c r="K47" s="107">
        <v>37178</v>
      </c>
      <c r="L47" s="107"/>
      <c r="M47" s="72"/>
      <c r="N47" s="83"/>
      <c r="O47" s="17">
        <v>24650</v>
      </c>
      <c r="P47" s="17">
        <f>19432+58+98.6</f>
        <v>19588.599999999999</v>
      </c>
      <c r="Q47" s="17">
        <v>7493</v>
      </c>
      <c r="R47" s="17">
        <v>19720</v>
      </c>
      <c r="S47" s="18">
        <v>23055</v>
      </c>
      <c r="T47" s="18"/>
      <c r="U47" s="18">
        <v>20195.599999999999</v>
      </c>
      <c r="V47" s="18">
        <v>5758.24</v>
      </c>
      <c r="W47" s="116">
        <f>23600.2+1518.44</f>
        <v>25118.639999999999</v>
      </c>
      <c r="X47" s="18">
        <v>21924</v>
      </c>
      <c r="Y47" s="18"/>
      <c r="Z47" s="156">
        <f>SUM(D47:D47:Y47)</f>
        <v>3510669.0800000005</v>
      </c>
      <c r="AA47" s="38"/>
      <c r="AB47" s="134"/>
      <c r="AC47" s="39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</row>
    <row r="48" spans="2:60" ht="12" customHeight="1" x14ac:dyDescent="0.2">
      <c r="B48" s="13"/>
      <c r="C48" s="59" t="s">
        <v>60</v>
      </c>
      <c r="D48" s="94"/>
      <c r="E48" s="14"/>
      <c r="F48" s="14"/>
      <c r="G48" s="14"/>
      <c r="H48" s="14">
        <f>20300+20300+20300</f>
        <v>60900</v>
      </c>
      <c r="I48" s="14"/>
      <c r="J48" s="17">
        <f>40600+40600+40600</f>
        <v>121800</v>
      </c>
      <c r="K48" s="107">
        <v>101500</v>
      </c>
      <c r="L48" s="107">
        <v>81200</v>
      </c>
      <c r="M48" s="72">
        <v>121800</v>
      </c>
      <c r="N48" s="83"/>
      <c r="O48" s="17">
        <v>162400</v>
      </c>
      <c r="P48" s="17">
        <v>40600</v>
      </c>
      <c r="Q48" s="17">
        <v>40600</v>
      </c>
      <c r="R48" s="17"/>
      <c r="S48" s="18">
        <v>60900</v>
      </c>
      <c r="T48" s="18">
        <v>81200</v>
      </c>
      <c r="U48" s="18"/>
      <c r="V48" s="18">
        <v>40600</v>
      </c>
      <c r="W48" s="116">
        <v>162400</v>
      </c>
      <c r="X48" s="18"/>
      <c r="Y48" s="18"/>
      <c r="Z48" s="81">
        <f>SUM(D48:D48:Y48)</f>
        <v>1075900</v>
      </c>
      <c r="AA48" s="38"/>
      <c r="AB48" s="135"/>
      <c r="AC48" s="39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</row>
    <row r="49" spans="2:60" ht="12" customHeight="1" x14ac:dyDescent="0.2">
      <c r="B49" s="13"/>
      <c r="C49" s="59" t="s">
        <v>0</v>
      </c>
      <c r="D49" s="94"/>
      <c r="E49" s="14"/>
      <c r="F49" s="14"/>
      <c r="G49" s="14"/>
      <c r="H49" s="14"/>
      <c r="I49" s="14"/>
      <c r="J49" s="17"/>
      <c r="K49" s="107"/>
      <c r="L49" s="107"/>
      <c r="M49" s="72"/>
      <c r="N49" s="83"/>
      <c r="O49" s="17"/>
      <c r="P49" s="17">
        <v>136485.6</v>
      </c>
      <c r="Q49" s="17"/>
      <c r="R49" s="17"/>
      <c r="S49" s="18"/>
      <c r="T49" s="18"/>
      <c r="U49" s="18"/>
      <c r="V49" s="18"/>
      <c r="W49" s="116"/>
      <c r="X49" s="18"/>
      <c r="Y49" s="18"/>
      <c r="Z49" s="157">
        <f>SUM(D49:D49:Y49)</f>
        <v>136485.6</v>
      </c>
      <c r="AA49" s="38"/>
      <c r="AB49" s="135"/>
      <c r="AC49" s="39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</row>
    <row r="50" spans="2:60" ht="12" customHeight="1" x14ac:dyDescent="0.25">
      <c r="B50" s="40" t="s">
        <v>61</v>
      </c>
      <c r="C50" s="67"/>
      <c r="D50" s="95"/>
      <c r="E50" s="22"/>
      <c r="F50" s="22"/>
      <c r="G50" s="22"/>
      <c r="H50" s="22"/>
      <c r="I50" s="22"/>
      <c r="J50" s="23"/>
      <c r="K50" s="108"/>
      <c r="L50" s="108"/>
      <c r="M50" s="73"/>
      <c r="N50" s="85"/>
      <c r="O50" s="23"/>
      <c r="P50" s="23"/>
      <c r="Q50" s="41"/>
      <c r="R50" s="23"/>
      <c r="S50" s="23"/>
      <c r="T50" s="23"/>
      <c r="U50" s="23"/>
      <c r="V50" s="23"/>
      <c r="W50" s="118"/>
      <c r="X50" s="23"/>
      <c r="Y50" s="23"/>
      <c r="Z50" s="82"/>
      <c r="AA50" s="37">
        <f>SUM(Z51:Z75)</f>
        <v>22116823.239999998</v>
      </c>
      <c r="AB50" s="132">
        <f>+AA50/$AA76</f>
        <v>0.22937888681284546</v>
      </c>
      <c r="AC50" s="39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</row>
    <row r="51" spans="2:60" ht="12" customHeight="1" x14ac:dyDescent="0.2">
      <c r="B51" s="13"/>
      <c r="C51" s="59" t="s">
        <v>62</v>
      </c>
      <c r="D51" s="94"/>
      <c r="E51" s="14"/>
      <c r="F51" s="14"/>
      <c r="G51" s="14"/>
      <c r="H51" s="14"/>
      <c r="I51" s="14"/>
      <c r="J51" s="17"/>
      <c r="K51" s="107"/>
      <c r="L51" s="107"/>
      <c r="M51" s="72"/>
      <c r="N51" s="83"/>
      <c r="O51" s="17"/>
      <c r="P51" s="18"/>
      <c r="Q51" s="18">
        <v>23733.599999999999</v>
      </c>
      <c r="R51" s="18"/>
      <c r="S51" s="42"/>
      <c r="T51" s="42"/>
      <c r="U51" s="42"/>
      <c r="V51" s="42"/>
      <c r="W51" s="121"/>
      <c r="X51" s="42"/>
      <c r="Y51" s="42"/>
      <c r="Z51" s="81">
        <f>SUM(D51:D51:Y51)</f>
        <v>23733.599999999999</v>
      </c>
      <c r="AA51" s="43"/>
      <c r="AB51" s="136"/>
      <c r="AC51" s="39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</row>
    <row r="52" spans="2:60" ht="12" customHeight="1" x14ac:dyDescent="0.25">
      <c r="B52" s="44"/>
      <c r="C52" s="59" t="s">
        <v>63</v>
      </c>
      <c r="D52" s="100"/>
      <c r="E52" s="45"/>
      <c r="F52" s="45"/>
      <c r="G52" s="45"/>
      <c r="H52" s="45"/>
      <c r="I52" s="45"/>
      <c r="J52" s="46"/>
      <c r="K52" s="111"/>
      <c r="L52" s="111"/>
      <c r="M52" s="77"/>
      <c r="N52" s="88"/>
      <c r="O52" s="47"/>
      <c r="P52" s="47">
        <v>795760</v>
      </c>
      <c r="Q52" s="18">
        <v>609000</v>
      </c>
      <c r="R52" s="47">
        <v>1191209.8</v>
      </c>
      <c r="S52" s="18">
        <v>171149.93</v>
      </c>
      <c r="T52" s="18"/>
      <c r="U52" s="18">
        <v>337824</v>
      </c>
      <c r="V52" s="18">
        <v>397440</v>
      </c>
      <c r="W52" s="116">
        <f>115503.52+354552</f>
        <v>470055.52</v>
      </c>
      <c r="X52" s="18"/>
      <c r="Y52" s="18"/>
      <c r="Z52" s="156">
        <f>SUM(D52:D52:Y52)</f>
        <v>3972439.25</v>
      </c>
      <c r="AA52" s="43"/>
      <c r="AB52" s="136"/>
      <c r="AC52" s="39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</row>
    <row r="53" spans="2:60" ht="12" customHeight="1" x14ac:dyDescent="0.2">
      <c r="B53" s="13"/>
      <c r="C53" s="59" t="s">
        <v>35</v>
      </c>
      <c r="D53" s="94"/>
      <c r="E53" s="14"/>
      <c r="F53" s="14"/>
      <c r="G53" s="74"/>
      <c r="H53" s="14"/>
      <c r="I53" s="14"/>
      <c r="J53" s="17"/>
      <c r="K53" s="107"/>
      <c r="L53" s="107"/>
      <c r="M53" s="72"/>
      <c r="N53" s="83"/>
      <c r="O53" s="17"/>
      <c r="P53" s="18"/>
      <c r="Q53" s="18">
        <v>12373.72</v>
      </c>
      <c r="R53" s="18"/>
      <c r="S53" s="15">
        <f>7424.23+7424.23</f>
        <v>14848.46</v>
      </c>
      <c r="T53" s="18">
        <v>14848.46</v>
      </c>
      <c r="U53" s="18">
        <v>9651.5</v>
      </c>
      <c r="V53" s="18"/>
      <c r="W53" s="116">
        <v>24747.439999999999</v>
      </c>
      <c r="X53" s="18"/>
      <c r="Y53" s="18"/>
      <c r="Z53" s="81">
        <f>SUM(D53:D53:X53)</f>
        <v>76469.58</v>
      </c>
      <c r="AA53" s="38"/>
      <c r="AB53" s="135"/>
      <c r="AC53" s="39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</row>
    <row r="54" spans="2:60" ht="12" customHeight="1" x14ac:dyDescent="0.2">
      <c r="B54" s="13"/>
      <c r="C54" s="59" t="s">
        <v>64</v>
      </c>
      <c r="D54" s="94"/>
      <c r="E54" s="14"/>
      <c r="F54" s="14"/>
      <c r="G54" s="14"/>
      <c r="H54" s="14"/>
      <c r="I54" s="14"/>
      <c r="J54" s="17"/>
      <c r="K54" s="107"/>
      <c r="L54" s="107"/>
      <c r="M54" s="72"/>
      <c r="N54" s="83"/>
      <c r="O54" s="17"/>
      <c r="P54" s="18"/>
      <c r="Q54" s="18"/>
      <c r="R54" s="18"/>
      <c r="S54" s="18">
        <v>5498.4</v>
      </c>
      <c r="T54" s="18">
        <v>2749.2</v>
      </c>
      <c r="U54" s="18">
        <v>5498.4</v>
      </c>
      <c r="V54" s="18"/>
      <c r="W54" s="116">
        <v>8247.6</v>
      </c>
      <c r="X54" s="18"/>
      <c r="Y54" s="18"/>
      <c r="Z54" s="157">
        <f>SUM(D54:D54:Y54)</f>
        <v>21993.599999999999</v>
      </c>
      <c r="AA54" s="38"/>
      <c r="AB54" s="135"/>
      <c r="AC54" s="39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</row>
    <row r="55" spans="2:60" ht="12" customHeight="1" x14ac:dyDescent="0.2">
      <c r="B55" s="13"/>
      <c r="C55" s="59" t="s">
        <v>65</v>
      </c>
      <c r="D55" s="94"/>
      <c r="E55" s="14"/>
      <c r="F55" s="14"/>
      <c r="G55" s="14"/>
      <c r="H55" s="14"/>
      <c r="I55" s="14"/>
      <c r="J55" s="17"/>
      <c r="K55" s="107"/>
      <c r="L55" s="107"/>
      <c r="M55" s="72"/>
      <c r="N55" s="83"/>
      <c r="O55" s="17"/>
      <c r="P55" s="18"/>
      <c r="Q55" s="18">
        <v>12818</v>
      </c>
      <c r="R55" s="18">
        <v>13833</v>
      </c>
      <c r="S55" s="18">
        <v>39000</v>
      </c>
      <c r="T55" s="18">
        <v>108000</v>
      </c>
      <c r="U55" s="18">
        <f>8200+63000+12200</f>
        <v>83400</v>
      </c>
      <c r="V55" s="18">
        <v>78200</v>
      </c>
      <c r="W55" s="116">
        <v>129600</v>
      </c>
      <c r="X55" s="18"/>
      <c r="Y55" s="18"/>
      <c r="Z55" s="81">
        <f>SUM(D55:D55:Y55)</f>
        <v>464851</v>
      </c>
      <c r="AA55" s="38"/>
      <c r="AB55" s="135"/>
      <c r="AC55" s="39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</row>
    <row r="56" spans="2:60" ht="12" customHeight="1" x14ac:dyDescent="0.2">
      <c r="B56" s="13"/>
      <c r="C56" s="59" t="s">
        <v>66</v>
      </c>
      <c r="D56" s="94"/>
      <c r="E56" s="14"/>
      <c r="F56" s="14"/>
      <c r="G56" s="14"/>
      <c r="H56" s="14"/>
      <c r="I56" s="14"/>
      <c r="J56" s="17"/>
      <c r="K56" s="107"/>
      <c r="L56" s="107"/>
      <c r="M56" s="72"/>
      <c r="N56" s="83"/>
      <c r="O56" s="17"/>
      <c r="P56" s="18">
        <v>86250</v>
      </c>
      <c r="Q56" s="18">
        <v>58374</v>
      </c>
      <c r="R56" s="18">
        <f>7200+188784</f>
        <v>195984</v>
      </c>
      <c r="S56" s="18">
        <f>309120+125478</f>
        <v>434598</v>
      </c>
      <c r="T56" s="18">
        <v>684825</v>
      </c>
      <c r="U56" s="18"/>
      <c r="V56" s="18"/>
      <c r="W56" s="116"/>
      <c r="X56" s="18"/>
      <c r="Y56" s="18"/>
      <c r="Z56" s="81">
        <f>SUM(D56:D56:Y56)</f>
        <v>1460031</v>
      </c>
      <c r="AA56" s="38"/>
      <c r="AB56" s="135"/>
      <c r="AC56" s="39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</row>
    <row r="57" spans="2:60" ht="12" customHeight="1" x14ac:dyDescent="0.2">
      <c r="B57" s="13"/>
      <c r="C57" s="59" t="s">
        <v>67</v>
      </c>
      <c r="D57" s="94"/>
      <c r="E57" s="14"/>
      <c r="F57" s="14"/>
      <c r="G57" s="14"/>
      <c r="H57" s="14"/>
      <c r="I57" s="14"/>
      <c r="J57" s="17"/>
      <c r="K57" s="107"/>
      <c r="L57" s="107"/>
      <c r="M57" s="72"/>
      <c r="N57" s="83"/>
      <c r="O57" s="17"/>
      <c r="P57" s="18"/>
      <c r="Q57" s="18">
        <v>391964</v>
      </c>
      <c r="R57" s="18"/>
      <c r="S57" s="18"/>
      <c r="T57" s="18">
        <v>237862.64</v>
      </c>
      <c r="U57" s="18">
        <f>153480.76+251637.06</f>
        <v>405117.82</v>
      </c>
      <c r="V57" s="18"/>
      <c r="W57" s="116"/>
      <c r="X57" s="18"/>
      <c r="Y57" s="18">
        <v>57721.599999999999</v>
      </c>
      <c r="Z57" s="156">
        <f>SUM(D57:D57:Y57)</f>
        <v>1092666.06</v>
      </c>
      <c r="AA57" s="38"/>
      <c r="AB57" s="135"/>
      <c r="AC57" s="39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</row>
    <row r="58" spans="2:60" ht="12" customHeight="1" x14ac:dyDescent="0.2">
      <c r="B58" s="13"/>
      <c r="C58" s="59" t="s">
        <v>68</v>
      </c>
      <c r="D58" s="94"/>
      <c r="E58" s="14"/>
      <c r="F58" s="14"/>
      <c r="G58" s="14"/>
      <c r="H58" s="14"/>
      <c r="I58" s="14"/>
      <c r="J58" s="17"/>
      <c r="K58" s="107"/>
      <c r="L58" s="107"/>
      <c r="M58" s="72"/>
      <c r="N58" s="83"/>
      <c r="O58" s="17"/>
      <c r="P58" s="18"/>
      <c r="Q58" s="18"/>
      <c r="R58" s="18">
        <v>249860</v>
      </c>
      <c r="S58" s="18"/>
      <c r="T58" s="18">
        <f>389760+293999.88</f>
        <v>683759.88</v>
      </c>
      <c r="U58" s="18">
        <f>341040+238728.06+19488</f>
        <v>599256.06000000006</v>
      </c>
      <c r="V58" s="18">
        <f>356327.94+176385.89</f>
        <v>532713.83000000007</v>
      </c>
      <c r="W58" s="116"/>
      <c r="X58" s="18"/>
      <c r="Y58" s="18"/>
      <c r="Z58" s="156">
        <f>SUM(D58:D58:Y58)</f>
        <v>2065589.77</v>
      </c>
      <c r="AA58" s="38"/>
      <c r="AB58" s="135"/>
      <c r="AC58" s="39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</row>
    <row r="59" spans="2:60" ht="12" customHeight="1" x14ac:dyDescent="0.2">
      <c r="B59" s="13"/>
      <c r="C59" s="59" t="s">
        <v>69</v>
      </c>
      <c r="D59" s="94"/>
      <c r="E59" s="14"/>
      <c r="F59" s="14"/>
      <c r="G59" s="14"/>
      <c r="H59" s="14"/>
      <c r="I59" s="14"/>
      <c r="J59" s="17"/>
      <c r="K59" s="107"/>
      <c r="L59" s="107"/>
      <c r="M59" s="72"/>
      <c r="N59" s="83"/>
      <c r="O59" s="17"/>
      <c r="P59" s="18"/>
      <c r="Q59" s="18">
        <v>26240.36</v>
      </c>
      <c r="R59" s="18">
        <v>193363</v>
      </c>
      <c r="S59" s="18"/>
      <c r="T59" s="18"/>
      <c r="U59" s="18">
        <f>64090+4050.72+7349.76+4858.08</f>
        <v>80348.56</v>
      </c>
      <c r="V59" s="18"/>
      <c r="W59" s="116">
        <v>1282.96</v>
      </c>
      <c r="X59" s="18"/>
      <c r="Y59" s="18"/>
      <c r="Z59" s="156">
        <f>SUM(D59:D59:Y59)</f>
        <v>301234.88</v>
      </c>
      <c r="AA59" s="38"/>
      <c r="AB59" s="135"/>
      <c r="AC59" s="39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</row>
    <row r="60" spans="2:60" ht="12" customHeight="1" x14ac:dyDescent="0.2">
      <c r="B60" s="13"/>
      <c r="C60" s="59" t="s">
        <v>70</v>
      </c>
      <c r="D60" s="94"/>
      <c r="E60" s="14"/>
      <c r="F60" s="14"/>
      <c r="G60" s="14"/>
      <c r="H60" s="14"/>
      <c r="I60" s="14"/>
      <c r="J60" s="17"/>
      <c r="K60" s="107"/>
      <c r="L60" s="107"/>
      <c r="M60" s="72"/>
      <c r="N60" s="83"/>
      <c r="O60" s="17"/>
      <c r="P60" s="18"/>
      <c r="Q60" s="18"/>
      <c r="R60" s="18">
        <v>23783.119999999999</v>
      </c>
      <c r="S60" s="18">
        <f>142498.98+2490.38</f>
        <v>144989.36000000002</v>
      </c>
      <c r="T60" s="18"/>
      <c r="U60" s="18">
        <f>6709.2+4200.8</f>
        <v>10910</v>
      </c>
      <c r="V60" s="18"/>
      <c r="W60" s="116">
        <v>3055.6</v>
      </c>
      <c r="X60" s="18"/>
      <c r="Y60" s="18"/>
      <c r="Z60" s="156">
        <f>SUM(D60:D60:Y60)</f>
        <v>182738.08000000002</v>
      </c>
      <c r="AA60" s="38"/>
      <c r="AB60" s="135"/>
      <c r="AC60" s="39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</row>
    <row r="61" spans="2:60" ht="12" customHeight="1" x14ac:dyDescent="0.2">
      <c r="B61" s="13"/>
      <c r="C61" s="59" t="s">
        <v>71</v>
      </c>
      <c r="D61" s="94"/>
      <c r="E61" s="14"/>
      <c r="F61" s="14"/>
      <c r="G61" s="14"/>
      <c r="H61" s="74"/>
      <c r="I61" s="14"/>
      <c r="J61" s="17"/>
      <c r="K61" s="107"/>
      <c r="L61" s="107"/>
      <c r="M61" s="72"/>
      <c r="N61" s="83"/>
      <c r="O61" s="17"/>
      <c r="P61" s="18">
        <v>454871</v>
      </c>
      <c r="Q61" s="18"/>
      <c r="R61" s="18"/>
      <c r="S61" s="18"/>
      <c r="T61" s="15">
        <v>87570</v>
      </c>
      <c r="U61" s="18">
        <v>96287.93</v>
      </c>
      <c r="V61" s="18"/>
      <c r="W61" s="116">
        <v>122538.73</v>
      </c>
      <c r="X61" s="18"/>
      <c r="Y61" s="18"/>
      <c r="Z61" s="156">
        <f>SUM(D61:D61:Y61)</f>
        <v>761267.65999999992</v>
      </c>
      <c r="AA61" s="38"/>
      <c r="AB61" s="135"/>
      <c r="AC61" s="39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</row>
    <row r="62" spans="2:60" ht="12" customHeight="1" x14ac:dyDescent="0.2">
      <c r="B62" s="13"/>
      <c r="C62" s="59" t="s">
        <v>72</v>
      </c>
      <c r="D62" s="94"/>
      <c r="E62" s="14"/>
      <c r="F62" s="14"/>
      <c r="G62" s="74"/>
      <c r="H62" s="14"/>
      <c r="I62" s="14"/>
      <c r="J62" s="17"/>
      <c r="K62" s="107"/>
      <c r="L62" s="107"/>
      <c r="M62" s="72"/>
      <c r="N62" s="83"/>
      <c r="O62" s="17"/>
      <c r="P62" s="18"/>
      <c r="Q62" s="18"/>
      <c r="R62" s="54">
        <v>498000</v>
      </c>
      <c r="S62" s="15">
        <f>1162000+50000</f>
        <v>1212000</v>
      </c>
      <c r="T62" s="18"/>
      <c r="U62" s="18">
        <v>456500</v>
      </c>
      <c r="V62" s="18">
        <f>664000+720000</f>
        <v>1384000</v>
      </c>
      <c r="W62" s="116"/>
      <c r="X62" s="18">
        <v>120000</v>
      </c>
      <c r="Y62" s="18"/>
      <c r="Z62" s="81">
        <f>SUM(D62:D62:Y62)</f>
        <v>3670500</v>
      </c>
      <c r="AA62" s="38"/>
      <c r="AB62" s="135"/>
      <c r="AC62" s="39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</row>
    <row r="63" spans="2:60" ht="12" customHeight="1" x14ac:dyDescent="0.2">
      <c r="B63" s="13"/>
      <c r="C63" s="59" t="s">
        <v>73</v>
      </c>
      <c r="D63" s="94"/>
      <c r="E63" s="14"/>
      <c r="F63" s="14"/>
      <c r="G63" s="14"/>
      <c r="H63" s="14"/>
      <c r="I63" s="14"/>
      <c r="J63" s="17"/>
      <c r="K63" s="107"/>
      <c r="L63" s="107"/>
      <c r="M63" s="72"/>
      <c r="N63" s="83"/>
      <c r="O63" s="17"/>
      <c r="P63" s="18"/>
      <c r="Q63" s="18"/>
      <c r="R63" s="18">
        <v>39672</v>
      </c>
      <c r="S63" s="18"/>
      <c r="T63" s="18"/>
      <c r="U63" s="18"/>
      <c r="V63" s="18"/>
      <c r="W63" s="116"/>
      <c r="X63" s="18"/>
      <c r="Y63" s="18"/>
      <c r="Z63" s="81">
        <f>SUM(D63:D63:Y63)</f>
        <v>39672</v>
      </c>
      <c r="AA63" s="38"/>
      <c r="AB63" s="135"/>
      <c r="AC63" s="39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</row>
    <row r="64" spans="2:60" ht="12" customHeight="1" x14ac:dyDescent="0.2">
      <c r="B64" s="13"/>
      <c r="C64" s="59" t="s">
        <v>74</v>
      </c>
      <c r="D64" s="94"/>
      <c r="E64" s="14"/>
      <c r="F64" s="14"/>
      <c r="G64" s="14"/>
      <c r="H64" s="14"/>
      <c r="I64" s="14"/>
      <c r="J64" s="17"/>
      <c r="K64" s="107"/>
      <c r="L64" s="107"/>
      <c r="M64" s="72"/>
      <c r="N64" s="83"/>
      <c r="O64" s="17"/>
      <c r="P64" s="18"/>
      <c r="Q64" s="18">
        <v>26385.360000000001</v>
      </c>
      <c r="R64" s="18"/>
      <c r="S64" s="18">
        <f>3542.64+12980.4+7702.4+16983</f>
        <v>41208.44</v>
      </c>
      <c r="T64" s="18"/>
      <c r="U64" s="18">
        <f>25960.8+12980.4</f>
        <v>38941.199999999997</v>
      </c>
      <c r="V64" s="18">
        <v>12980.4</v>
      </c>
      <c r="W64" s="116">
        <v>8525.2999999999993</v>
      </c>
      <c r="X64" s="18"/>
      <c r="Y64" s="18"/>
      <c r="Z64" s="157">
        <f>SUM(D64:D64:Y64)</f>
        <v>128040.7</v>
      </c>
      <c r="AA64" s="38"/>
      <c r="AB64" s="135"/>
      <c r="AC64" s="39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</row>
    <row r="65" spans="2:60" ht="12" customHeight="1" x14ac:dyDescent="0.2">
      <c r="B65" s="13"/>
      <c r="C65" s="59" t="s">
        <v>75</v>
      </c>
      <c r="D65" s="94"/>
      <c r="E65" s="14"/>
      <c r="F65" s="14"/>
      <c r="G65" s="14"/>
      <c r="H65" s="14"/>
      <c r="I65" s="14"/>
      <c r="J65" s="17"/>
      <c r="K65" s="107"/>
      <c r="L65" s="107"/>
      <c r="M65" s="72"/>
      <c r="N65" s="83"/>
      <c r="O65" s="17"/>
      <c r="P65" s="18"/>
      <c r="Q65" s="18"/>
      <c r="R65" s="18"/>
      <c r="S65" s="18">
        <f>107555.2+87696</f>
        <v>195251.20000000001</v>
      </c>
      <c r="T65" s="18"/>
      <c r="U65" s="18"/>
      <c r="V65" s="18"/>
      <c r="W65" s="116">
        <v>134792</v>
      </c>
      <c r="X65" s="18"/>
      <c r="Y65" s="18"/>
      <c r="Z65" s="157">
        <f>SUM(D65:D65:Y65)</f>
        <v>330043.2</v>
      </c>
      <c r="AA65" s="38"/>
      <c r="AB65" s="135"/>
      <c r="AC65" s="39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</row>
    <row r="66" spans="2:60" ht="12" customHeight="1" x14ac:dyDescent="0.2">
      <c r="B66" s="13"/>
      <c r="C66" s="59" t="s">
        <v>76</v>
      </c>
      <c r="D66" s="94"/>
      <c r="E66" s="14"/>
      <c r="F66" s="14"/>
      <c r="G66" s="14"/>
      <c r="H66" s="14"/>
      <c r="I66" s="14"/>
      <c r="J66" s="17"/>
      <c r="K66" s="107"/>
      <c r="L66" s="107"/>
      <c r="M66" s="72"/>
      <c r="N66" s="83"/>
      <c r="O66" s="17"/>
      <c r="P66" s="18"/>
      <c r="Q66" s="18"/>
      <c r="R66" s="18"/>
      <c r="S66" s="18"/>
      <c r="T66" s="18">
        <v>104400</v>
      </c>
      <c r="U66" s="18"/>
      <c r="V66" s="18"/>
      <c r="W66" s="116"/>
      <c r="X66" s="18"/>
      <c r="Y66" s="18"/>
      <c r="Z66" s="81">
        <f>SUM(D66:D66:Y66)</f>
        <v>104400</v>
      </c>
      <c r="AA66" s="38"/>
      <c r="AB66" s="135"/>
      <c r="AC66" s="39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</row>
    <row r="67" spans="2:60" ht="12" customHeight="1" x14ac:dyDescent="0.2">
      <c r="B67" s="13"/>
      <c r="C67" s="59" t="s">
        <v>77</v>
      </c>
      <c r="D67" s="94"/>
      <c r="E67" s="14"/>
      <c r="F67" s="14"/>
      <c r="G67" s="14"/>
      <c r="H67" s="14"/>
      <c r="I67" s="14"/>
      <c r="J67" s="17"/>
      <c r="K67" s="107"/>
      <c r="L67" s="107"/>
      <c r="M67" s="72"/>
      <c r="N67" s="83"/>
      <c r="O67" s="17"/>
      <c r="P67" s="18"/>
      <c r="Q67" s="18"/>
      <c r="R67" s="18"/>
      <c r="S67" s="18">
        <v>63141.120000000003</v>
      </c>
      <c r="T67" s="18"/>
      <c r="U67" s="18"/>
      <c r="V67" s="18"/>
      <c r="W67" s="116"/>
      <c r="X67" s="18"/>
      <c r="Y67" s="18"/>
      <c r="Z67" s="156">
        <f>SUM(D67:D67:Y67)</f>
        <v>63141.120000000003</v>
      </c>
      <c r="AA67" s="38"/>
      <c r="AB67" s="135"/>
      <c r="AC67" s="39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</row>
    <row r="68" spans="2:60" ht="12" customHeight="1" x14ac:dyDescent="0.2">
      <c r="B68" s="13"/>
      <c r="C68" s="59" t="s">
        <v>78</v>
      </c>
      <c r="D68" s="94"/>
      <c r="E68" s="14"/>
      <c r="F68" s="14"/>
      <c r="G68" s="14"/>
      <c r="H68" s="14"/>
      <c r="I68" s="14"/>
      <c r="J68" s="17"/>
      <c r="K68" s="107"/>
      <c r="L68" s="107"/>
      <c r="M68" s="72"/>
      <c r="N68" s="83"/>
      <c r="O68" s="17"/>
      <c r="P68" s="18"/>
      <c r="Q68" s="18"/>
      <c r="R68" s="18"/>
      <c r="S68" s="18">
        <v>106604</v>
      </c>
      <c r="T68" s="18"/>
      <c r="U68" s="18"/>
      <c r="V68" s="18"/>
      <c r="W68" s="116"/>
      <c r="X68" s="18"/>
      <c r="Y68" s="18"/>
      <c r="Z68" s="81">
        <f>SUM(D68:D68:Y68)</f>
        <v>106604</v>
      </c>
      <c r="AA68" s="38"/>
      <c r="AB68" s="135"/>
      <c r="AC68" s="39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</row>
    <row r="69" spans="2:60" ht="12" customHeight="1" x14ac:dyDescent="0.2">
      <c r="B69" s="13"/>
      <c r="C69" s="59" t="s">
        <v>79</v>
      </c>
      <c r="D69" s="94"/>
      <c r="E69" s="14"/>
      <c r="F69" s="14"/>
      <c r="G69" s="14"/>
      <c r="H69" s="14"/>
      <c r="I69" s="14"/>
      <c r="J69" s="17"/>
      <c r="K69" s="107"/>
      <c r="L69" s="107"/>
      <c r="M69" s="72"/>
      <c r="N69" s="83"/>
      <c r="O69" s="17"/>
      <c r="P69" s="18"/>
      <c r="Q69" s="74"/>
      <c r="R69" s="18">
        <v>4176</v>
      </c>
      <c r="S69" s="18">
        <v>5602.8</v>
      </c>
      <c r="T69" s="18">
        <v>3097.2</v>
      </c>
      <c r="U69" s="18">
        <v>3097.2</v>
      </c>
      <c r="V69" s="18"/>
      <c r="W69" s="116">
        <v>6194.4</v>
      </c>
      <c r="X69" s="18"/>
      <c r="Y69" s="18"/>
      <c r="Z69" s="157">
        <f>SUM(D69:D69:Y69)</f>
        <v>22167.599999999999</v>
      </c>
      <c r="AA69" s="38"/>
      <c r="AB69" s="135"/>
      <c r="AC69" s="39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</row>
    <row r="70" spans="2:60" ht="12" customHeight="1" x14ac:dyDescent="0.2">
      <c r="B70" s="13"/>
      <c r="C70" s="57" t="s">
        <v>59</v>
      </c>
      <c r="D70" s="94"/>
      <c r="E70" s="14"/>
      <c r="F70" s="14"/>
      <c r="G70" s="14"/>
      <c r="H70" s="14"/>
      <c r="I70" s="14"/>
      <c r="J70" s="17"/>
      <c r="K70" s="107"/>
      <c r="L70" s="107"/>
      <c r="M70" s="72"/>
      <c r="N70" s="83"/>
      <c r="O70" s="17"/>
      <c r="P70" s="18"/>
      <c r="Q70" s="18"/>
      <c r="R70" s="18"/>
      <c r="S70" s="18">
        <v>1183.2</v>
      </c>
      <c r="T70" s="18">
        <f>4722.36</f>
        <v>4722.3599999999997</v>
      </c>
      <c r="U70" s="18">
        <v>2940.6</v>
      </c>
      <c r="V70" s="18"/>
      <c r="W70" s="116">
        <f>3288.6+5028.6</f>
        <v>8317.2000000000007</v>
      </c>
      <c r="X70" s="18"/>
      <c r="Y70" s="18"/>
      <c r="Z70" s="156">
        <f>SUM(D70:D70:Y70)</f>
        <v>17163.36</v>
      </c>
      <c r="AA70" s="38"/>
      <c r="AB70" s="135"/>
      <c r="AC70" s="39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</row>
    <row r="71" spans="2:60" ht="12" customHeight="1" x14ac:dyDescent="0.2">
      <c r="B71" s="13"/>
      <c r="C71" s="59" t="s">
        <v>80</v>
      </c>
      <c r="D71" s="94"/>
      <c r="E71" s="14"/>
      <c r="F71" s="14"/>
      <c r="G71" s="14"/>
      <c r="H71" s="14"/>
      <c r="I71" s="14"/>
      <c r="J71" s="17"/>
      <c r="K71" s="107"/>
      <c r="L71" s="107"/>
      <c r="M71" s="72"/>
      <c r="N71" s="83"/>
      <c r="O71" s="17"/>
      <c r="P71" s="18"/>
      <c r="Q71" s="18"/>
      <c r="R71" s="18"/>
      <c r="S71" s="18">
        <v>51091.97</v>
      </c>
      <c r="T71" s="18">
        <v>85153.279999999999</v>
      </c>
      <c r="U71" s="18">
        <v>51091.97</v>
      </c>
      <c r="V71" s="18"/>
      <c r="W71" s="116">
        <v>144760.57999999999</v>
      </c>
      <c r="X71" s="18"/>
      <c r="Y71" s="18"/>
      <c r="Z71" s="157">
        <f>SUM(D71:D71:Y71)</f>
        <v>332097.8</v>
      </c>
      <c r="AA71" s="38"/>
      <c r="AB71" s="135"/>
      <c r="AC71" s="39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</row>
    <row r="72" spans="2:60" ht="12" customHeight="1" x14ac:dyDescent="0.2">
      <c r="B72" s="13"/>
      <c r="C72" s="59" t="s">
        <v>81</v>
      </c>
      <c r="D72" s="94"/>
      <c r="E72" s="14"/>
      <c r="F72" s="14"/>
      <c r="G72" s="14"/>
      <c r="H72" s="14"/>
      <c r="I72" s="14"/>
      <c r="J72" s="17"/>
      <c r="K72" s="107"/>
      <c r="L72" s="107"/>
      <c r="M72" s="72"/>
      <c r="N72" s="83"/>
      <c r="O72" s="17"/>
      <c r="P72" s="18"/>
      <c r="Q72" s="18"/>
      <c r="R72" s="18">
        <v>31552</v>
      </c>
      <c r="S72" s="18">
        <v>35032</v>
      </c>
      <c r="T72" s="18">
        <v>58000</v>
      </c>
      <c r="U72" s="18">
        <v>35032</v>
      </c>
      <c r="V72" s="18"/>
      <c r="W72" s="116">
        <v>80968</v>
      </c>
      <c r="X72" s="18"/>
      <c r="Y72" s="18"/>
      <c r="Z72" s="81">
        <f>SUM(D72:D72:Y72)</f>
        <v>240584</v>
      </c>
      <c r="AA72" s="38"/>
      <c r="AB72" s="135"/>
      <c r="AC72" s="39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</row>
    <row r="73" spans="2:60" ht="12" customHeight="1" x14ac:dyDescent="0.2">
      <c r="B73" s="13"/>
      <c r="C73" s="59" t="s">
        <v>82</v>
      </c>
      <c r="D73" s="94"/>
      <c r="E73" s="14"/>
      <c r="F73" s="14"/>
      <c r="G73" s="14"/>
      <c r="H73" s="14"/>
      <c r="I73" s="14"/>
      <c r="J73" s="17"/>
      <c r="K73" s="107"/>
      <c r="L73" s="107"/>
      <c r="M73" s="72"/>
      <c r="N73" s="83"/>
      <c r="O73" s="17"/>
      <c r="P73" s="18"/>
      <c r="Q73" s="18">
        <v>800365.2</v>
      </c>
      <c r="R73" s="18">
        <v>318942</v>
      </c>
      <c r="S73" s="18">
        <f>996915.6+45240</f>
        <v>1042155.6</v>
      </c>
      <c r="T73" s="18">
        <v>549782</v>
      </c>
      <c r="U73" s="18">
        <f>509506.8+294060</f>
        <v>803566.8</v>
      </c>
      <c r="V73" s="18">
        <f>370968+597168</f>
        <v>968136</v>
      </c>
      <c r="W73" s="116">
        <f>381477.6+449337.6</f>
        <v>830815.2</v>
      </c>
      <c r="X73" s="18"/>
      <c r="Y73" s="18"/>
      <c r="Z73" s="157">
        <f>SUM(D73:D73:Y73)</f>
        <v>5313762.8</v>
      </c>
      <c r="AA73" s="38"/>
      <c r="AB73" s="135"/>
      <c r="AC73" s="39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</row>
    <row r="74" spans="2:60" ht="12" customHeight="1" x14ac:dyDescent="0.2">
      <c r="B74" s="13"/>
      <c r="C74" s="59" t="s">
        <v>83</v>
      </c>
      <c r="D74" s="94"/>
      <c r="E74" s="14"/>
      <c r="F74" s="14"/>
      <c r="G74" s="14"/>
      <c r="H74" s="14"/>
      <c r="I74" s="14"/>
      <c r="J74" s="17"/>
      <c r="K74" s="107"/>
      <c r="L74" s="107"/>
      <c r="M74" s="72"/>
      <c r="N74" s="83"/>
      <c r="O74" s="17"/>
      <c r="P74" s="17"/>
      <c r="Q74" s="17">
        <v>1568.78</v>
      </c>
      <c r="R74" s="18"/>
      <c r="S74" s="18">
        <v>1989.66</v>
      </c>
      <c r="T74" s="18"/>
      <c r="U74" s="18">
        <v>366.88</v>
      </c>
      <c r="V74" s="18"/>
      <c r="W74" s="116">
        <v>4242.66</v>
      </c>
      <c r="X74" s="18"/>
      <c r="Y74" s="18"/>
      <c r="Z74" s="156">
        <f>SUM(D74:D74:Y74)</f>
        <v>8167.98</v>
      </c>
      <c r="AA74" s="38"/>
      <c r="AB74" s="137"/>
      <c r="AC74" s="39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</row>
    <row r="75" spans="2:60" ht="12" customHeight="1" x14ac:dyDescent="0.2">
      <c r="B75" s="13"/>
      <c r="C75" s="59" t="s">
        <v>86</v>
      </c>
      <c r="D75" s="94"/>
      <c r="E75" s="14"/>
      <c r="F75" s="14"/>
      <c r="G75" s="14"/>
      <c r="H75" s="14"/>
      <c r="I75" s="14"/>
      <c r="J75" s="17"/>
      <c r="K75" s="107"/>
      <c r="L75" s="107"/>
      <c r="M75" s="72"/>
      <c r="N75" s="83"/>
      <c r="O75" s="17"/>
      <c r="P75" s="17"/>
      <c r="Q75" s="17"/>
      <c r="R75" s="18"/>
      <c r="S75" s="18">
        <v>228775.2</v>
      </c>
      <c r="T75" s="18">
        <v>316071</v>
      </c>
      <c r="U75" s="54">
        <v>255867</v>
      </c>
      <c r="V75" s="18"/>
      <c r="W75" s="116">
        <v>516751</v>
      </c>
      <c r="X75" s="18"/>
      <c r="Y75" s="18"/>
      <c r="Z75" s="157">
        <f>SUM(D75:D75:Y75)</f>
        <v>1317464.2</v>
      </c>
      <c r="AA75" s="38"/>
      <c r="AB75" s="137"/>
      <c r="AC75" s="39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</row>
    <row r="76" spans="2:60" ht="34.5" customHeight="1" thickBot="1" x14ac:dyDescent="0.25">
      <c r="B76" s="142" t="s">
        <v>84</v>
      </c>
      <c r="C76" s="143"/>
      <c r="D76" s="101">
        <f>SUM(D10:D75)</f>
        <v>2155905</v>
      </c>
      <c r="E76" s="79">
        <f>SUM(E10:E75)</f>
        <v>17659137.960000001</v>
      </c>
      <c r="F76" s="79">
        <f>SUM(F10:F75)</f>
        <v>27515965.369999997</v>
      </c>
      <c r="G76" s="79">
        <f>SUM(G10:G75)</f>
        <v>18071002.390000001</v>
      </c>
      <c r="H76" s="79">
        <f>SUM(H10:H75)</f>
        <v>4061099.36</v>
      </c>
      <c r="I76" s="79">
        <f>SUM(I10:I75)</f>
        <v>873505.8</v>
      </c>
      <c r="J76" s="79">
        <f>SUM(J10:J75)</f>
        <v>1616467.69</v>
      </c>
      <c r="K76" s="112">
        <f>SUM(K10:K75)</f>
        <v>778249.6</v>
      </c>
      <c r="L76" s="112">
        <f>SUM(L10:L75)</f>
        <v>117637.20999999999</v>
      </c>
      <c r="M76" s="80">
        <f>SUM(M10:M75)</f>
        <v>130427.33</v>
      </c>
      <c r="N76" s="78">
        <f>SUM(N10:N75)</f>
        <v>46281.729999999996</v>
      </c>
      <c r="O76" s="79">
        <f>SUM(O10:O75)</f>
        <v>324717.33999999997</v>
      </c>
      <c r="P76" s="79">
        <f>SUM(P10:P75)</f>
        <v>1630241.46</v>
      </c>
      <c r="Q76" s="79">
        <f>SUM(Q10:Q75)</f>
        <v>2062062.0900000003</v>
      </c>
      <c r="R76" s="79">
        <f>SUM(R10:R75)</f>
        <v>2795918.96</v>
      </c>
      <c r="S76" s="79">
        <f>SUM(S10:S75)</f>
        <v>3901005.2200000011</v>
      </c>
      <c r="T76" s="79">
        <f>SUM(T10:T75)</f>
        <v>3023525.86</v>
      </c>
      <c r="U76" s="79">
        <f>SUM(U10:U75)</f>
        <v>3305553.2700000005</v>
      </c>
      <c r="V76" s="79">
        <f>SUM(V10:V75)</f>
        <v>3436734.93</v>
      </c>
      <c r="W76" s="122">
        <f>SUM(W10:W75)</f>
        <v>2714378.83</v>
      </c>
      <c r="X76" s="79">
        <f>SUM(X10:X75)</f>
        <v>142944.79999999999</v>
      </c>
      <c r="Y76" s="79">
        <f>SUM(Y10:Y75)</f>
        <v>57721.599999999999</v>
      </c>
      <c r="Z76" s="79">
        <f>SUM(Z10:Z75)</f>
        <v>96420483.799999997</v>
      </c>
      <c r="AA76" s="79">
        <f>SUM(AA9:AA75)</f>
        <v>96420483.799999997</v>
      </c>
      <c r="AB76" s="138">
        <v>1</v>
      </c>
      <c r="AC76" s="12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</row>
    <row r="77" spans="2:60" ht="20.25" customHeight="1" x14ac:dyDescent="0.2">
      <c r="B77" s="48"/>
      <c r="C77" s="49"/>
      <c r="G77" s="50"/>
      <c r="H77" s="50"/>
      <c r="I77" s="50"/>
      <c r="J77" s="50"/>
      <c r="K77" s="113"/>
      <c r="L77" s="113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</row>
    <row r="78" spans="2:60" ht="20.25" customHeight="1" x14ac:dyDescent="0.2">
      <c r="B78" s="48"/>
      <c r="C78" s="49"/>
      <c r="F78" s="51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</row>
    <row r="79" spans="2:60" ht="20.25" customHeight="1" x14ac:dyDescent="0.2">
      <c r="B79" s="48"/>
      <c r="C79" s="49"/>
      <c r="F79" s="51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</row>
    <row r="80" spans="2:60" ht="20.25" customHeight="1" x14ac:dyDescent="0.2">
      <c r="B80" s="48"/>
      <c r="C80" s="49"/>
      <c r="F80" s="51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</row>
    <row r="81" spans="2:60" ht="20.25" customHeight="1" x14ac:dyDescent="0.2">
      <c r="B81" s="48"/>
      <c r="C81" s="49"/>
      <c r="F81" s="51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</row>
    <row r="82" spans="2:60" ht="20.25" customHeight="1" x14ac:dyDescent="0.2">
      <c r="B82" s="48"/>
      <c r="C82" s="49"/>
      <c r="F82" s="51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</row>
    <row r="83" spans="2:60" x14ac:dyDescent="0.2">
      <c r="B83" s="48"/>
      <c r="C83" s="49"/>
      <c r="F83" s="51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</row>
    <row r="84" spans="2:60" x14ac:dyDescent="0.2">
      <c r="B84" s="48"/>
      <c r="C84" s="49"/>
      <c r="F84" s="51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</row>
    <row r="85" spans="2:60" x14ac:dyDescent="0.2">
      <c r="B85" s="48"/>
      <c r="C85" s="49"/>
      <c r="F85" s="51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</row>
    <row r="86" spans="2:60" x14ac:dyDescent="0.2">
      <c r="B86" s="48"/>
      <c r="C86" s="49"/>
      <c r="D86" s="102"/>
      <c r="F86" s="51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</row>
    <row r="87" spans="2:60" x14ac:dyDescent="0.2">
      <c r="B87" s="48"/>
      <c r="C87" s="49"/>
      <c r="F87" s="51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</row>
    <row r="88" spans="2:60" x14ac:dyDescent="0.2">
      <c r="B88" s="48"/>
      <c r="C88" s="49"/>
      <c r="F88" s="51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</row>
    <row r="89" spans="2:60" x14ac:dyDescent="0.2">
      <c r="B89" s="48"/>
      <c r="C89" s="49"/>
      <c r="F89" s="51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</row>
  </sheetData>
  <mergeCells count="9">
    <mergeCell ref="B8:C8"/>
    <mergeCell ref="B76:C76"/>
    <mergeCell ref="B2:G2"/>
    <mergeCell ref="B3:AB3"/>
    <mergeCell ref="B4:AB4"/>
    <mergeCell ref="B5:AB5"/>
    <mergeCell ref="B6:AB6"/>
    <mergeCell ref="B7:M7"/>
    <mergeCell ref="N7:W7"/>
  </mergeCells>
  <pageMargins left="0" right="0" top="0.74803149606299213" bottom="0.74803149606299213" header="0.31496062992125984" footer="0.31496062992125984"/>
  <pageSetup scale="48" fitToWidth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Municipio Apodaca</dc:creator>
  <cp:lastModifiedBy>e</cp:lastModifiedBy>
  <cp:lastPrinted>2021-12-09T21:43:40Z</cp:lastPrinted>
  <dcterms:created xsi:type="dcterms:W3CDTF">2021-10-14T13:58:26Z</dcterms:created>
  <dcterms:modified xsi:type="dcterms:W3CDTF">2022-01-14T23:58:16Z</dcterms:modified>
</cp:coreProperties>
</file>